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DB Documents\DB Financial, Insurance, etc, DL 12-15-23\Budget\2024-25 Budget\"/>
    </mc:Choice>
  </mc:AlternateContent>
  <xr:revisionPtr revIDLastSave="0" documentId="13_ncr:1_{308A28C0-9B10-4F72-AE29-E12875512BF2}" xr6:coauthVersionLast="47" xr6:coauthVersionMax="47" xr10:uidLastSave="{00000000-0000-0000-0000-000000000000}"/>
  <bookViews>
    <workbookView xWindow="1380" yWindow="195" windowWidth="25770" windowHeight="15015" tabRatio="470" activeTab="1" xr2:uid="{00000000-000D-0000-FFFF-FFFF00000000}"/>
  </bookViews>
  <sheets>
    <sheet name="2024-25 Budget Worksheet" sheetId="5" r:id="rId1"/>
    <sheet name="24-25 Exhibit A" sheetId="12" r:id="rId2"/>
  </sheets>
  <definedNames>
    <definedName name="BUDGET" localSheetId="0">#REF!</definedName>
    <definedName name="BUDGET" localSheetId="1">#REF!</definedName>
    <definedName name="BUDGET">#REF!</definedName>
    <definedName name="Budget2" localSheetId="1">#REF!</definedName>
    <definedName name="Budget2">#REF!</definedName>
    <definedName name="COMPLETEAUDIT" localSheetId="0">#REF!</definedName>
    <definedName name="COMPLETEAUDIT" localSheetId="1">#REF!</definedName>
    <definedName name="COMPLETEAUDIT">#REF!</definedName>
    <definedName name="completeaudit1" localSheetId="1">#REF!</definedName>
    <definedName name="completeaudit1">#REF!</definedName>
    <definedName name="EX">#REF!</definedName>
    <definedName name="EXPENSE" localSheetId="0">#REF!</definedName>
    <definedName name="EXPENSE" localSheetId="1">#REF!</definedName>
    <definedName name="EXPENSE">#REF!</definedName>
    <definedName name="_xlnm.Print_Area" localSheetId="0">'2024-25 Budget Worksheet'!$A$1:$K$94</definedName>
    <definedName name="_xlnm.Print_Area" localSheetId="1">'24-25 Exhibit A'!$A$1:$B$48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7" i="5" l="1"/>
  <c r="I35" i="5"/>
  <c r="I41" i="5"/>
  <c r="E48" i="5"/>
  <c r="B4" i="12"/>
  <c r="B5" i="12"/>
  <c r="B13" i="12"/>
  <c r="B14" i="12"/>
  <c r="B19" i="12"/>
  <c r="B20" i="12"/>
  <c r="B21" i="12"/>
  <c r="B22" i="12"/>
  <c r="B23" i="12"/>
  <c r="B24" i="12"/>
  <c r="B25" i="12"/>
  <c r="B26" i="12"/>
  <c r="B27" i="12"/>
  <c r="B28" i="12"/>
  <c r="B29" i="12"/>
  <c r="B44" i="12"/>
  <c r="J29" i="5"/>
  <c r="I4" i="5"/>
  <c r="B3" i="12" s="1"/>
  <c r="B6" i="12" l="1"/>
  <c r="B35" i="12" s="1"/>
  <c r="J60" i="5"/>
  <c r="G62" i="5"/>
  <c r="G63" i="5"/>
  <c r="G58" i="5"/>
  <c r="G59" i="5"/>
  <c r="F60" i="5"/>
  <c r="J64" i="5"/>
  <c r="K58" i="5"/>
  <c r="K59" i="5"/>
  <c r="K61" i="5"/>
  <c r="K62" i="5"/>
  <c r="K63" i="5"/>
  <c r="K51" i="5"/>
  <c r="J52" i="5"/>
  <c r="J51" i="5"/>
  <c r="J50" i="5"/>
  <c r="J30" i="5"/>
  <c r="K29" i="5"/>
  <c r="J5" i="5" l="1"/>
  <c r="F65" i="5"/>
  <c r="F66" i="5"/>
  <c r="F67" i="5"/>
  <c r="F68" i="5"/>
  <c r="F69" i="5"/>
  <c r="F70" i="5"/>
  <c r="F71" i="5"/>
  <c r="F72" i="5"/>
  <c r="F73" i="5"/>
  <c r="F64" i="5"/>
  <c r="F59" i="5"/>
  <c r="F61" i="5"/>
  <c r="F62" i="5"/>
  <c r="F63" i="5"/>
  <c r="F58" i="5"/>
  <c r="F51" i="5"/>
  <c r="F52" i="5"/>
  <c r="F50" i="5"/>
  <c r="F103" i="5"/>
  <c r="F104" i="5"/>
  <c r="F105" i="5"/>
  <c r="F106" i="5"/>
  <c r="F102" i="5"/>
  <c r="F21" i="5"/>
  <c r="F22" i="5"/>
  <c r="F23" i="5"/>
  <c r="F24" i="5"/>
  <c r="F25" i="5"/>
  <c r="F26" i="5"/>
  <c r="F27" i="5"/>
  <c r="F28" i="5"/>
  <c r="F29" i="5"/>
  <c r="F30" i="5"/>
  <c r="F20" i="5"/>
  <c r="F5" i="5"/>
  <c r="F6" i="5"/>
  <c r="F7" i="5"/>
  <c r="F96" i="5"/>
  <c r="F97" i="5"/>
  <c r="E8" i="5"/>
  <c r="E14" i="5"/>
  <c r="G5" i="5"/>
  <c r="G6" i="5"/>
  <c r="G7" i="5"/>
  <c r="J97" i="5"/>
  <c r="J96" i="5"/>
  <c r="E107" i="5"/>
  <c r="F107" i="5" s="1"/>
  <c r="I57" i="5"/>
  <c r="B18" i="12" s="1"/>
  <c r="B30" i="12" s="1"/>
  <c r="I31" i="5"/>
  <c r="D31" i="5"/>
  <c r="D53" i="5"/>
  <c r="D84" i="5" s="1"/>
  <c r="E57" i="5"/>
  <c r="E74" i="5" s="1"/>
  <c r="D57" i="5"/>
  <c r="D74" i="5" s="1"/>
  <c r="D85" i="5" s="1"/>
  <c r="B12" i="12"/>
  <c r="E41" i="5"/>
  <c r="F41" i="5" s="1"/>
  <c r="B11" i="12"/>
  <c r="E35" i="5"/>
  <c r="G35" i="5" s="1"/>
  <c r="B15" i="12" l="1"/>
  <c r="B32" i="12" s="1"/>
  <c r="B36" i="12" s="1"/>
  <c r="B37" i="12" s="1"/>
  <c r="F74" i="5"/>
  <c r="F35" i="5"/>
  <c r="K35" i="5"/>
  <c r="J35" i="5"/>
  <c r="F57" i="5"/>
  <c r="J57" i="5"/>
  <c r="K57" i="5"/>
  <c r="I74" i="5"/>
  <c r="J74" i="5" s="1"/>
  <c r="K41" i="5"/>
  <c r="J41" i="5"/>
  <c r="F31" i="5"/>
  <c r="I53" i="5"/>
  <c r="J53" i="5" s="1"/>
  <c r="E53" i="5"/>
  <c r="F53" i="5" s="1"/>
  <c r="I86" i="5"/>
  <c r="E85" i="5"/>
  <c r="F85" i="5" s="1"/>
  <c r="E79" i="5"/>
  <c r="E86" i="5" s="1"/>
  <c r="F86" i="5" s="1"/>
  <c r="J58" i="5"/>
  <c r="J59" i="5"/>
  <c r="J61" i="5"/>
  <c r="J62" i="5"/>
  <c r="J63" i="5"/>
  <c r="I85" i="5" l="1"/>
  <c r="K85" i="5" s="1"/>
  <c r="E84" i="5"/>
  <c r="F84" i="5" s="1"/>
  <c r="J86" i="5"/>
  <c r="G85" i="5"/>
  <c r="J85" i="5" l="1"/>
  <c r="I84" i="5"/>
  <c r="I83" i="5" l="1"/>
  <c r="I87" i="5" s="1"/>
  <c r="E31" i="5"/>
  <c r="J20" i="5"/>
  <c r="J21" i="5"/>
  <c r="J22" i="5"/>
  <c r="J23" i="5"/>
  <c r="G29" i="5"/>
  <c r="I98" i="5"/>
  <c r="E98" i="5"/>
  <c r="E83" i="5" l="1"/>
  <c r="I92" i="5"/>
  <c r="D112" i="5"/>
  <c r="G103" i="5"/>
  <c r="D83" i="5"/>
  <c r="D4" i="5"/>
  <c r="I112" i="5"/>
  <c r="K107" i="5"/>
  <c r="K106" i="5"/>
  <c r="J106" i="5"/>
  <c r="G106" i="5"/>
  <c r="J73" i="5"/>
  <c r="K72" i="5"/>
  <c r="J72" i="5"/>
  <c r="G72" i="5"/>
  <c r="K71" i="5"/>
  <c r="J71" i="5"/>
  <c r="G71" i="5"/>
  <c r="K70" i="5"/>
  <c r="J70" i="5"/>
  <c r="G70" i="5"/>
  <c r="K68" i="5"/>
  <c r="J68" i="5"/>
  <c r="G68" i="5"/>
  <c r="K67" i="5"/>
  <c r="J67" i="5"/>
  <c r="G67" i="5"/>
  <c r="K66" i="5"/>
  <c r="J66" i="5"/>
  <c r="G66" i="5"/>
  <c r="K65" i="5"/>
  <c r="J65" i="5"/>
  <c r="G65" i="5"/>
  <c r="K64" i="5"/>
  <c r="G64" i="5"/>
  <c r="G61" i="5"/>
  <c r="K69" i="5"/>
  <c r="J69" i="5"/>
  <c r="G69" i="5"/>
  <c r="K52" i="5"/>
  <c r="G52" i="5"/>
  <c r="K50" i="5"/>
  <c r="G50" i="5"/>
  <c r="K28" i="5"/>
  <c r="J28" i="5"/>
  <c r="G28" i="5"/>
  <c r="K27" i="5"/>
  <c r="J27" i="5"/>
  <c r="G27" i="5"/>
  <c r="K26" i="5"/>
  <c r="J26" i="5"/>
  <c r="G26" i="5"/>
  <c r="K25" i="5"/>
  <c r="J25" i="5"/>
  <c r="G25" i="5"/>
  <c r="K24" i="5"/>
  <c r="J24" i="5"/>
  <c r="G24" i="5"/>
  <c r="K23" i="5"/>
  <c r="G23" i="5"/>
  <c r="K22" i="5"/>
  <c r="G22" i="5"/>
  <c r="K21" i="5"/>
  <c r="G21" i="5"/>
  <c r="K20" i="5"/>
  <c r="G20" i="5"/>
  <c r="K7" i="5"/>
  <c r="J7" i="5"/>
  <c r="K6" i="5"/>
  <c r="J6" i="5"/>
  <c r="K5" i="5"/>
  <c r="I8" i="5"/>
  <c r="I16" i="5" s="1"/>
  <c r="I91" i="5" s="1"/>
  <c r="F83" i="5" l="1"/>
  <c r="D8" i="5"/>
  <c r="D16" i="5" s="1"/>
  <c r="F4" i="5"/>
  <c r="F8" i="5" s="1"/>
  <c r="J4" i="5"/>
  <c r="J8" i="5" s="1"/>
  <c r="G4" i="5"/>
  <c r="D87" i="5"/>
  <c r="E87" i="5"/>
  <c r="G83" i="5"/>
  <c r="E16" i="5"/>
  <c r="G31" i="5"/>
  <c r="G57" i="5"/>
  <c r="G74" i="5"/>
  <c r="K31" i="5"/>
  <c r="K4" i="5"/>
  <c r="K103" i="5"/>
  <c r="J103" i="5"/>
  <c r="K74" i="5"/>
  <c r="G41" i="5"/>
  <c r="J107" i="5"/>
  <c r="K8" i="5"/>
  <c r="G107" i="5"/>
  <c r="J31" i="5"/>
  <c r="G8" i="5"/>
  <c r="F16" i="5" l="1"/>
  <c r="D92" i="5"/>
  <c r="F87" i="5"/>
  <c r="E91" i="5"/>
  <c r="E92" i="5"/>
  <c r="D91" i="5"/>
  <c r="J83" i="5"/>
  <c r="K83" i="5"/>
  <c r="J16" i="5"/>
  <c r="K91" i="5"/>
  <c r="G16" i="5"/>
  <c r="K16" i="5"/>
  <c r="F92" i="5" l="1"/>
  <c r="F91" i="5"/>
  <c r="G91" i="5"/>
  <c r="J91" i="5"/>
  <c r="D93" i="5"/>
  <c r="J87" i="5" l="1"/>
  <c r="K87" i="5"/>
  <c r="G104" i="5" l="1"/>
  <c r="G102" i="5"/>
  <c r="G53" i="5"/>
  <c r="E93" i="5"/>
  <c r="D98" i="5" l="1"/>
  <c r="G98" i="5" s="1"/>
  <c r="G105" i="5"/>
  <c r="G92" i="5"/>
  <c r="K53" i="5"/>
  <c r="J92" i="5"/>
  <c r="K92" i="5" l="1"/>
  <c r="I93" i="5"/>
  <c r="J93" i="5" s="1"/>
  <c r="K102" i="5" l="1"/>
  <c r="J102" i="5"/>
  <c r="K104" i="5"/>
  <c r="J104" i="5"/>
  <c r="K105" i="5" l="1"/>
  <c r="J105" i="5"/>
  <c r="G84" i="5"/>
  <c r="J84" i="5"/>
  <c r="K8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tc={66E86E1C-F37A-4ABC-B159-7035AC7D4A8C}</author>
    <author>tc={BA3CB620-6C4A-42BF-B6E4-813620C471BA}</author>
    <author>tc={C2C5160D-258C-49B5-8CEA-57CB9F4E696A}</author>
    <author>tc={B6898B8D-BCAE-448E-A542-01BEA71EB68B}</author>
    <author>tc={9BB1E244-3A97-49BC-993C-59EA62B363BF}</author>
    <author>tc={9C23BCF5-74B7-4E17-9F42-C3851A596927}</author>
    <author>tc={D2AC2FC3-AA45-4038-8243-7422F20A0CAE}</author>
    <author>tc={9386C35A-E014-48A1-85CC-0590D9A22070}</author>
    <author>tc={8F2AB4F3-3B76-40F1-9845-7407C0C29A9A}</author>
  </authors>
  <commentList>
    <comment ref="B22" authorId="0" shapeId="0" xr:uid="{66E86E1C-F37A-4ABC-B159-7035AC7D4A8C}">
      <text>
        <t>[Threaded comment]
Your version of Excel allows you to read this threaded comment; however, any edits to it will get removed if the file is opened in a newer version of Excel. Learn more: https://go.microsoft.com/fwlink/?linkid=870924
Comment:
    3% of gross salary for GM per contract.</t>
      </text>
    </comment>
    <comment ref="B24" authorId="1" shapeId="0" xr:uid="{BA3CB620-6C4A-42BF-B6E4-813620C471BA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approx 1.5%  of gross</t>
      </text>
    </comment>
    <comment ref="B28" authorId="2" shapeId="0" xr:uid="{C2C5160D-258C-49B5-8CEA-57CB9F4E696A}">
      <text>
        <t>[Threaded comment]
Your version of Excel allows you to read this threaded comment; however, any edits to it will get removed if the file is opened in a newer version of Excel. Learn more: https://go.microsoft.com/fwlink/?linkid=870924
Comment:
    CalPERS, Unfunded Accrued Liability (UAL) unpaid/unfunded benefits earned in prior years by employees and retirees. A fixed dollar payment, a payment plan so to speak, over 30 years.</t>
      </text>
    </comment>
    <comment ref="B30" authorId="3" shapeId="0" xr:uid="{B6898B8D-BCAE-448E-A542-01BEA71EB68B}">
      <text>
        <t>[Threaded comment]
Your version of Excel allows you to read this threaded comment; however, any edits to it will get removed if the file is opened in a newer version of Excel. Learn more: https://go.microsoft.com/fwlink/?linkid=870924
Comment:
    CalPERS, Unfunded Accrued Liability (UAL) unpaid/unfunded benefits earned in prior years by employees and retirees. A fixed dollar payment, a payment plan so to speak, over 30 years.</t>
      </text>
    </comment>
    <comment ref="B50" authorId="4" shapeId="0" xr:uid="{9BB1E244-3A97-49BC-993C-59EA62B363BF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 of this is a pass through for  N Gualala gage, and not shown as expense here.</t>
      </text>
    </comment>
    <comment ref="D102" authorId="5" shapeId="0" xr:uid="{9C23BCF5-74B7-4E17-9F42-C3851A59692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Fixed assetts: 150,000
</t>
      </text>
    </comment>
    <comment ref="I102" authorId="6" shapeId="0" xr:uid="{D2AC2FC3-AA45-4038-8243-7422F20A0C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Fixed assetts: 150,000
</t>
      </text>
    </comment>
    <comment ref="D103" authorId="7" shapeId="0" xr:uid="{9386C35A-E014-48A1-85CC-0590D9A22070}">
      <text>
        <t>[Threaded comment]
Your version of Excel allows you to read this threaded comment; however, any edits to it will get removed if the file is opened in a newer version of Excel. Learn more: https://go.microsoft.com/fwlink/?linkid=870924
Comment:
    Fixed assets: 150,000</t>
      </text>
    </comment>
    <comment ref="I103" authorId="8" shapeId="0" xr:uid="{8F2AB4F3-3B76-40F1-9845-7407C0C29A9A}">
      <text>
        <t>[Threaded comment]
Your version of Excel allows you to read this threaded comment; however, any edits to it will get removed if the file is opened in a newer version of Excel. Learn more: https://go.microsoft.com/fwlink/?linkid=870924
Comment:
    Fixed assets: 150,000</t>
      </text>
    </comment>
  </commentList>
</comments>
</file>

<file path=xl/sharedStrings.xml><?xml version="1.0" encoding="utf-8"?>
<sst xmlns="http://schemas.openxmlformats.org/spreadsheetml/2006/main" count="265" uniqueCount="160">
  <si>
    <t>Notes</t>
  </si>
  <si>
    <t>Property Taxes</t>
  </si>
  <si>
    <t>Water Application Fees</t>
  </si>
  <si>
    <t>TOTAL REVENUE</t>
  </si>
  <si>
    <t>Election</t>
  </si>
  <si>
    <t>Office Operating Expenses</t>
  </si>
  <si>
    <t>RESERVES</t>
  </si>
  <si>
    <t>Water Sales, Contracted</t>
  </si>
  <si>
    <t>Rent &amp; Utilities</t>
  </si>
  <si>
    <t>TOTALS:</t>
  </si>
  <si>
    <t>Capital 
( 15% of fixed assets + 10% operating expense budget)</t>
  </si>
  <si>
    <t>Emergency 
(Emergency: 25% of fixed assets)</t>
  </si>
  <si>
    <t>Operating
(Operating: 50% of operating expense budget)</t>
  </si>
  <si>
    <t>Vehicle: Fuel, Repairs, Maintenance</t>
  </si>
  <si>
    <t>Unfunded Pension Liability</t>
  </si>
  <si>
    <t>less TOTAL OPERATING EXPENSES</t>
  </si>
  <si>
    <t>Water Supply Reliability
(Remainder)</t>
  </si>
  <si>
    <t>Memberships, ACWA &amp; CSDA</t>
  </si>
  <si>
    <t>Surplus Water Sales</t>
  </si>
  <si>
    <t xml:space="preserve">Notes
</t>
  </si>
  <si>
    <t>(last year included potential to join RRWA)</t>
  </si>
  <si>
    <t>FY 2023/24</t>
  </si>
  <si>
    <t>Other income</t>
  </si>
  <si>
    <t xml:space="preserve">Interest, LAIF </t>
  </si>
  <si>
    <t>Interest, Savings</t>
  </si>
  <si>
    <t>PAYROLL EXPENSES</t>
  </si>
  <si>
    <t>Gross Wages</t>
  </si>
  <si>
    <t>CalPERS Employer Expense</t>
  </si>
  <si>
    <t>CalPERS 457 Expense</t>
  </si>
  <si>
    <t>Health Insurance</t>
  </si>
  <si>
    <t>Medicare</t>
  </si>
  <si>
    <t>CalPERS 1959 Survivor Billing</t>
  </si>
  <si>
    <t>CalPERS GASB-68 Fees</t>
  </si>
  <si>
    <t>TOTAL PAYROLL EXPENSES</t>
  </si>
  <si>
    <t>USGS Streamflow Gage</t>
  </si>
  <si>
    <t>GENERAL &amp; ADMINISTRATIVE EXPENSES</t>
  </si>
  <si>
    <t>Training &amp; Conferences</t>
  </si>
  <si>
    <t>Stipends, meetings</t>
  </si>
  <si>
    <t>Property Tax Admin Fees</t>
  </si>
  <si>
    <t>TOTAL GENERAL &amp; ADMINISTRATIVE EXPENSES</t>
  </si>
  <si>
    <t>Payroll Expenses - Other</t>
  </si>
  <si>
    <t>This was an insurance dividend.</t>
  </si>
  <si>
    <t xml:space="preserve">No budget for surplus. </t>
  </si>
  <si>
    <t>Accounting</t>
  </si>
  <si>
    <t>Audit</t>
  </si>
  <si>
    <t>Human Resources</t>
  </si>
  <si>
    <t>FICA (Federal Taxes)</t>
  </si>
  <si>
    <t>Consulting - General</t>
  </si>
  <si>
    <t>(19k was for 2 yrs)</t>
  </si>
  <si>
    <t>Strategic Planning</t>
  </si>
  <si>
    <t>Inland Water &amp; Power Commission JPA</t>
  </si>
  <si>
    <t>Groundwater Sustainablity Agency JPA</t>
  </si>
  <si>
    <t>Change</t>
  </si>
  <si>
    <t>LAIF Fair Market Value</t>
  </si>
  <si>
    <t>Legal Counsel</t>
  </si>
  <si>
    <t>Engineering</t>
  </si>
  <si>
    <t>Employee Bonus</t>
  </si>
  <si>
    <t>Budget to Actual in %</t>
  </si>
  <si>
    <t>% Change</t>
  </si>
  <si>
    <t>Amt Change</t>
  </si>
  <si>
    <t>From previous FY Budget</t>
  </si>
  <si>
    <t xml:space="preserve">From previous FY </t>
  </si>
  <si>
    <t>Fixed assets: 150,000
(increasing to estimated 200k in next year)</t>
  </si>
  <si>
    <t>Local Agency Formation Commission</t>
  </si>
  <si>
    <t>ORDINARY REVENUE</t>
  </si>
  <si>
    <t>TOTAL ORDINARY REVENUE</t>
  </si>
  <si>
    <t>OTHER REVENUE</t>
  </si>
  <si>
    <t>TOTAL OTHER REVENUE</t>
  </si>
  <si>
    <t>N/A</t>
  </si>
  <si>
    <t>Water Supply Reliabilty Projects</t>
  </si>
  <si>
    <t xml:space="preserve">Approved </t>
  </si>
  <si>
    <t>Other</t>
  </si>
  <si>
    <t>EQUALS</t>
  </si>
  <si>
    <t>TOTAL EXPENSES</t>
  </si>
  <si>
    <t xml:space="preserve">Vehicle </t>
  </si>
  <si>
    <t>Training, Conferences, Associated Costs</t>
  </si>
  <si>
    <t>Stipends</t>
  </si>
  <si>
    <t>Stream flow gage (USGS)</t>
  </si>
  <si>
    <t>Property Tax Administration Fees</t>
  </si>
  <si>
    <t>Local Agency Formation Commission (LAFCo)</t>
  </si>
  <si>
    <t>Insurance</t>
  </si>
  <si>
    <t>EXPENSES</t>
  </si>
  <si>
    <t>Interest, LAIF &amp; Savings</t>
  </si>
  <si>
    <t>Water Sales, Contracted (7,497.15 af at $61 per af )</t>
  </si>
  <si>
    <t>REVENUE</t>
  </si>
  <si>
    <t>TOTAL RESERVES &amp; SAVINGS:</t>
  </si>
  <si>
    <t>LAIF RESERVES TOTALS:</t>
  </si>
  <si>
    <t xml:space="preserve">SAVINGS  </t>
  </si>
  <si>
    <t>Savings Bank Savings Account - 
Water Supply Reliabitliy Fund</t>
  </si>
  <si>
    <t>LAIF RESERVES</t>
  </si>
  <si>
    <t xml:space="preserve">Savings Bank Savings Account - 
Policy </t>
  </si>
  <si>
    <t xml:space="preserve">
APPROVED Budget
</t>
  </si>
  <si>
    <t xml:space="preserve">
APPROVED Budget</t>
  </si>
  <si>
    <t>from SAVINGS BANK</t>
  </si>
  <si>
    <t>from LAIF</t>
  </si>
  <si>
    <t xml:space="preserve">equals </t>
  </si>
  <si>
    <t>Actuals
Projected to 6/30/24</t>
  </si>
  <si>
    <t>Annual Fees</t>
  </si>
  <si>
    <t>Meter Maintenance</t>
  </si>
  <si>
    <t>Meter &amp; Data Mgmt Program</t>
  </si>
  <si>
    <t>Grants &amp; Funding Analysis-general</t>
  </si>
  <si>
    <t>Addt'l Water Rights</t>
  </si>
  <si>
    <t>RR Water Forum</t>
  </si>
  <si>
    <t>License Change Petition</t>
  </si>
  <si>
    <t>LAFCo Applications</t>
  </si>
  <si>
    <t>Trans Basin Diversion</t>
  </si>
  <si>
    <t>FY 2024/25</t>
  </si>
  <si>
    <t xml:space="preserve">Administered by County; unpredictable. </t>
  </si>
  <si>
    <t>Legal-general</t>
  </si>
  <si>
    <t>Propose additional funds come from reserves, if needed.</t>
  </si>
  <si>
    <t>0%</t>
  </si>
  <si>
    <t>Ownership changes.</t>
  </si>
  <si>
    <t>WATER SUPPLY EXPENSES</t>
  </si>
  <si>
    <t>Was previously in consultant category.</t>
  </si>
  <si>
    <t>Water Rights - Compliance TOTAL:</t>
  </si>
  <si>
    <t>Projects TOTAL:</t>
  </si>
  <si>
    <t>Includes a 6% COL increase for 6 months, post next evaluation.</t>
  </si>
  <si>
    <t>Determined by CalPERS later in FY.</t>
  </si>
  <si>
    <t>FY 2023-24 allocation for retro pay under negotiation.</t>
  </si>
  <si>
    <t>grey cells are a breakdown of the total.</t>
  </si>
  <si>
    <t>includes internal costs &amp; IWPC contributions toward TBD</t>
  </si>
  <si>
    <t>operational expenses of JPA</t>
  </si>
  <si>
    <t>TOTAL WATER SUPPLY EXPENSES</t>
  </si>
  <si>
    <t>(moved meter reading budget to water right compliance)</t>
  </si>
  <si>
    <t>County invoices in June .</t>
  </si>
  <si>
    <t>If everyone goes to every meeting assigned.</t>
  </si>
  <si>
    <t>OTHER EXPENSES</t>
  </si>
  <si>
    <t>IWPC Contribution fr Wtr Reliability Reserve</t>
  </si>
  <si>
    <t>GSA Contribution fr Wtr Reliability Reserve</t>
  </si>
  <si>
    <t>5700.1</t>
  </si>
  <si>
    <t>5700.2</t>
  </si>
  <si>
    <t>TOTAL OTHER EXPENSES</t>
  </si>
  <si>
    <t>SUMMARY</t>
  </si>
  <si>
    <t xml:space="preserve">
DRAFT Budget
</t>
  </si>
  <si>
    <t>If Rate/Fee implemented as expected, no more contributions.</t>
  </si>
  <si>
    <t>USE OF RESERVES</t>
  </si>
  <si>
    <t>from previous FY Budget</t>
  </si>
  <si>
    <t>Demand Management thru Pricing</t>
  </si>
  <si>
    <t>less TOTAL EXPENSE</t>
  </si>
  <si>
    <t>Difference</t>
  </si>
  <si>
    <t>of Actual from 
Budget</t>
  </si>
  <si>
    <t>Administrative Support</t>
  </si>
  <si>
    <t>7,497.15 af at $61 per af. Some Actual is from previous fiscal years.</t>
  </si>
  <si>
    <t>If option excercised, can draw from surplus revenue or reserves.</t>
  </si>
  <si>
    <t>Proposed</t>
  </si>
  <si>
    <t>Subtotal, General &amp; Administative Expenses</t>
  </si>
  <si>
    <t>Payroll</t>
  </si>
  <si>
    <t>Office Operating, Rent, Utilities</t>
  </si>
  <si>
    <t>Memberships (ACWA &amp; CSDA)</t>
  </si>
  <si>
    <t>General &amp; Administrative Expenses:</t>
  </si>
  <si>
    <t>Subtotal, Water Supply Expenses</t>
  </si>
  <si>
    <t>Joint Powers Authority Membership contributions</t>
  </si>
  <si>
    <t>Water Supply Projects</t>
  </si>
  <si>
    <t>Water Rights - Comliance</t>
  </si>
  <si>
    <t>Water Supply Expenses:</t>
  </si>
  <si>
    <r>
      <t>Capital</t>
    </r>
    <r>
      <rPr>
        <i/>
        <sz val="14"/>
        <rFont val="Garamond"/>
        <family val="1"/>
      </rPr>
      <t xml:space="preserve"> </t>
    </r>
    <r>
      <rPr>
        <i/>
        <sz val="12"/>
        <rFont val="Garamond"/>
        <family val="1"/>
      </rPr>
      <t>( 15% of fixed assets + 10% operating expense budget)</t>
    </r>
  </si>
  <si>
    <r>
      <t xml:space="preserve">Emergency </t>
    </r>
    <r>
      <rPr>
        <i/>
        <sz val="12"/>
        <rFont val="Garamond"/>
        <family val="1"/>
      </rPr>
      <t>(Emergency: 25% of fixed assets)</t>
    </r>
  </si>
  <si>
    <r>
      <t xml:space="preserve">Operating </t>
    </r>
    <r>
      <rPr>
        <sz val="12"/>
        <rFont val="Garamond"/>
        <family val="1"/>
      </rPr>
      <t>(</t>
    </r>
    <r>
      <rPr>
        <i/>
        <sz val="12"/>
        <rFont val="Garamond"/>
        <family val="1"/>
      </rPr>
      <t>Operating: 50% of operating expense budget)</t>
    </r>
  </si>
  <si>
    <r>
      <t xml:space="preserve">Water Supply Reliability </t>
    </r>
    <r>
      <rPr>
        <i/>
        <sz val="12"/>
        <rFont val="Garamond"/>
        <family val="1"/>
      </rPr>
      <t>(Remainder)</t>
    </r>
  </si>
  <si>
    <t>Coyote Valley Dam Enhancedments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</si>
</sst>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Garamond"/>
      <family val="1"/>
    </font>
    <font>
      <sz val="14"/>
      <name val="Garamond"/>
      <family val="1"/>
    </font>
    <font>
      <sz val="12"/>
      <name val="Garamond"/>
      <family val="1"/>
    </font>
    <font>
      <b/>
      <sz val="18"/>
      <name val="Garamond"/>
      <family val="1"/>
    </font>
    <font>
      <i/>
      <sz val="14"/>
      <name val="Garamond"/>
      <family val="1"/>
    </font>
    <font>
      <sz val="10"/>
      <name val="Arial"/>
      <family val="2"/>
    </font>
    <font>
      <sz val="10"/>
      <name val="Arial"/>
      <family val="2"/>
    </font>
    <font>
      <sz val="12"/>
      <name val="Segoe UI"/>
      <family val="2"/>
    </font>
    <font>
      <sz val="8"/>
      <name val="Arial"/>
      <family val="2"/>
    </font>
    <font>
      <i/>
      <sz val="12"/>
      <name val="Garamond"/>
      <family val="1"/>
    </font>
    <font>
      <b/>
      <sz val="14"/>
      <color rgb="FFFF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0" fontId="11" fillId="0" borderId="0"/>
    <xf numFmtId="0" fontId="4" fillId="0" borderId="0"/>
    <xf numFmtId="0" fontId="3" fillId="0" borderId="0"/>
    <xf numFmtId="9" fontId="12" fillId="0" borderId="0" applyFont="0" applyFill="0" applyBorder="0" applyAlignment="0" applyProtection="0"/>
    <xf numFmtId="0" fontId="2" fillId="0" borderId="0"/>
    <xf numFmtId="0" fontId="1" fillId="0" borderId="0"/>
  </cellStyleXfs>
  <cellXfs count="228">
    <xf numFmtId="0" fontId="0" fillId="0" borderId="0" xfId="0"/>
    <xf numFmtId="0" fontId="6" fillId="0" borderId="2" xfId="0" applyFont="1" applyBorder="1" applyAlignment="1" applyProtection="1">
      <alignment horizontal="center" wrapText="1"/>
      <protection locked="0"/>
    </xf>
    <xf numFmtId="44" fontId="7" fillId="0" borderId="2" xfId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/>
      <protection locked="0"/>
    </xf>
    <xf numFmtId="164" fontId="7" fillId="0" borderId="3" xfId="1" applyNumberFormat="1" applyFont="1" applyFill="1" applyBorder="1" applyAlignment="1">
      <alignment vertical="center"/>
    </xf>
    <xf numFmtId="164" fontId="7" fillId="0" borderId="0" xfId="0" applyNumberFormat="1" applyFont="1"/>
    <xf numFmtId="44" fontId="6" fillId="0" borderId="2" xfId="0" applyNumberFormat="1" applyFont="1" applyBorder="1" applyAlignment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164" fontId="6" fillId="0" borderId="0" xfId="0" applyNumberFormat="1" applyFont="1" applyAlignment="1">
      <alignment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>
      <alignment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44" fontId="6" fillId="0" borderId="10" xfId="0" applyNumberFormat="1" applyFont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2" xfId="1" applyNumberFormat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6" fillId="0" borderId="6" xfId="1" applyNumberFormat="1" applyFont="1" applyFill="1" applyBorder="1" applyAlignment="1">
      <alignment vertical="center"/>
    </xf>
    <xf numFmtId="164" fontId="7" fillId="0" borderId="3" xfId="1" applyNumberFormat="1" applyFont="1" applyFill="1" applyBorder="1" applyAlignment="1" applyProtection="1">
      <alignment vertical="center"/>
      <protection locked="0"/>
    </xf>
    <xf numFmtId="0" fontId="7" fillId="0" borderId="0" xfId="2" applyFont="1"/>
    <xf numFmtId="164" fontId="6" fillId="0" borderId="13" xfId="0" applyNumberFormat="1" applyFont="1" applyBorder="1" applyAlignment="1" applyProtection="1">
      <alignment horizontal="center" vertical="center"/>
      <protection locked="0"/>
    </xf>
    <xf numFmtId="9" fontId="7" fillId="0" borderId="3" xfId="5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6" xfId="5" applyFont="1" applyBorder="1" applyAlignment="1">
      <alignment horizontal="center" vertical="center"/>
    </xf>
    <xf numFmtId="9" fontId="7" fillId="0" borderId="4" xfId="5" applyFont="1" applyFill="1" applyBorder="1" applyAlignment="1">
      <alignment horizontal="center" vertical="center"/>
    </xf>
    <xf numFmtId="9" fontId="6" fillId="0" borderId="6" xfId="5" applyFont="1" applyFill="1" applyBorder="1" applyAlignment="1">
      <alignment horizontal="center" vertical="center"/>
    </xf>
    <xf numFmtId="9" fontId="6" fillId="0" borderId="0" xfId="5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0" fillId="0" borderId="0" xfId="2" applyFont="1"/>
    <xf numFmtId="9" fontId="7" fillId="0" borderId="11" xfId="5" applyFont="1" applyFill="1" applyBorder="1" applyAlignment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Alignment="1">
      <alignment vertical="center"/>
    </xf>
    <xf numFmtId="9" fontId="7" fillId="0" borderId="0" xfId="5" applyFont="1" applyFill="1" applyBorder="1" applyAlignment="1">
      <alignment horizontal="center" vertical="center"/>
    </xf>
    <xf numFmtId="9" fontId="10" fillId="0" borderId="0" xfId="5" applyFont="1" applyFill="1" applyBorder="1" applyAlignment="1">
      <alignment horizontal="center" vertical="center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7" fillId="0" borderId="0" xfId="2" applyNumberFormat="1" applyFont="1"/>
    <xf numFmtId="164" fontId="7" fillId="0" borderId="13" xfId="1" applyNumberFormat="1" applyFont="1" applyFill="1" applyBorder="1" applyAlignment="1">
      <alignment vertical="center"/>
    </xf>
    <xf numFmtId="0" fontId="7" fillId="0" borderId="11" xfId="2" applyFont="1" applyBorder="1" applyAlignment="1" applyProtection="1">
      <alignment vertical="center"/>
      <protection locked="0"/>
    </xf>
    <xf numFmtId="164" fontId="6" fillId="0" borderId="6" xfId="2" applyNumberFormat="1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164" fontId="7" fillId="0" borderId="18" xfId="1" applyNumberFormat="1" applyFont="1" applyFill="1" applyBorder="1" applyAlignment="1" applyProtection="1">
      <alignment vertical="center"/>
      <protection locked="0"/>
    </xf>
    <xf numFmtId="164" fontId="6" fillId="0" borderId="17" xfId="2" applyNumberFormat="1" applyFont="1" applyBorder="1" applyAlignment="1">
      <alignment vertical="center"/>
    </xf>
    <xf numFmtId="0" fontId="6" fillId="0" borderId="5" xfId="2" applyFont="1" applyBorder="1" applyAlignment="1" applyProtection="1">
      <alignment horizontal="right" vertical="center"/>
      <protection locked="0"/>
    </xf>
    <xf numFmtId="164" fontId="6" fillId="0" borderId="14" xfId="2" applyNumberFormat="1" applyFont="1" applyBorder="1" applyAlignment="1">
      <alignment vertical="center"/>
    </xf>
    <xf numFmtId="164" fontId="6" fillId="0" borderId="13" xfId="2" applyNumberFormat="1" applyFont="1" applyBorder="1" applyAlignment="1">
      <alignment vertical="center"/>
    </xf>
    <xf numFmtId="164" fontId="7" fillId="0" borderId="22" xfId="1" applyNumberFormat="1" applyFont="1" applyFill="1" applyBorder="1" applyAlignment="1">
      <alignment vertical="center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11" xfId="2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164" fontId="6" fillId="3" borderId="13" xfId="0" applyNumberFormat="1" applyFont="1" applyFill="1" applyBorder="1" applyAlignment="1" applyProtection="1">
      <alignment horizontal="center"/>
      <protection locked="0"/>
    </xf>
    <xf numFmtId="164" fontId="6" fillId="3" borderId="16" xfId="0" applyNumberFormat="1" applyFont="1" applyFill="1" applyBorder="1" applyAlignment="1" applyProtection="1">
      <alignment horizontal="center" vertical="top" wrapText="1"/>
      <protection locked="0"/>
    </xf>
    <xf numFmtId="164" fontId="6" fillId="3" borderId="16" xfId="0" applyNumberFormat="1" applyFont="1" applyFill="1" applyBorder="1" applyAlignment="1" applyProtection="1">
      <alignment horizontal="center" wrapText="1"/>
      <protection locked="0"/>
    </xf>
    <xf numFmtId="164" fontId="7" fillId="3" borderId="11" xfId="1" applyNumberFormat="1" applyFont="1" applyFill="1" applyBorder="1" applyAlignment="1" applyProtection="1">
      <alignment vertical="center"/>
      <protection locked="0"/>
    </xf>
    <xf numFmtId="164" fontId="7" fillId="3" borderId="3" xfId="1" applyNumberFormat="1" applyFont="1" applyFill="1" applyBorder="1" applyAlignment="1" applyProtection="1">
      <alignment vertical="center"/>
      <protection locked="0"/>
    </xf>
    <xf numFmtId="164" fontId="7" fillId="3" borderId="16" xfId="1" applyNumberFormat="1" applyFont="1" applyFill="1" applyBorder="1" applyAlignment="1" applyProtection="1">
      <alignment vertical="center"/>
      <protection locked="0"/>
    </xf>
    <xf numFmtId="164" fontId="7" fillId="3" borderId="12" xfId="1" applyNumberFormat="1" applyFont="1" applyFill="1" applyBorder="1" applyAlignment="1" applyProtection="1">
      <alignment vertical="center"/>
      <protection locked="0"/>
    </xf>
    <xf numFmtId="164" fontId="6" fillId="3" borderId="6" xfId="0" applyNumberFormat="1" applyFont="1" applyFill="1" applyBorder="1" applyAlignment="1">
      <alignment horizontal="center" vertical="center"/>
    </xf>
    <xf numFmtId="9" fontId="6" fillId="3" borderId="0" xfId="5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6" fillId="0" borderId="13" xfId="0" applyNumberFormat="1" applyFont="1" applyBorder="1" applyAlignment="1" applyProtection="1">
      <alignment horizontal="center"/>
      <protection locked="0"/>
    </xf>
    <xf numFmtId="164" fontId="6" fillId="0" borderId="6" xfId="0" applyNumberFormat="1" applyFont="1" applyBorder="1" applyAlignment="1">
      <alignment vertical="center"/>
    </xf>
    <xf numFmtId="164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16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164" fontId="7" fillId="3" borderId="21" xfId="1" applyNumberFormat="1" applyFont="1" applyFill="1" applyBorder="1" applyAlignment="1" applyProtection="1">
      <alignment vertical="center"/>
      <protection locked="0"/>
    </xf>
    <xf numFmtId="9" fontId="7" fillId="3" borderId="11" xfId="5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 applyProtection="1">
      <alignment vertical="center"/>
      <protection locked="0"/>
    </xf>
    <xf numFmtId="164" fontId="7" fillId="3" borderId="9" xfId="1" applyNumberFormat="1" applyFont="1" applyFill="1" applyBorder="1" applyAlignment="1" applyProtection="1">
      <alignment vertical="center"/>
      <protection locked="0"/>
    </xf>
    <xf numFmtId="9" fontId="7" fillId="3" borderId="3" xfId="5" applyFont="1" applyFill="1" applyBorder="1" applyAlignment="1">
      <alignment horizontal="center" vertical="center"/>
    </xf>
    <xf numFmtId="9" fontId="7" fillId="3" borderId="4" xfId="5" applyFont="1" applyFill="1" applyBorder="1" applyAlignment="1">
      <alignment horizontal="center" vertical="center"/>
    </xf>
    <xf numFmtId="164" fontId="7" fillId="3" borderId="0" xfId="1" applyNumberFormat="1" applyFont="1" applyFill="1" applyBorder="1" applyAlignment="1" applyProtection="1">
      <alignment vertical="center"/>
      <protection locked="0"/>
    </xf>
    <xf numFmtId="164" fontId="7" fillId="3" borderId="4" xfId="1" applyNumberFormat="1" applyFont="1" applyFill="1" applyBorder="1" applyAlignment="1" applyProtection="1">
      <alignment vertical="center"/>
      <protection locked="0"/>
    </xf>
    <xf numFmtId="164" fontId="6" fillId="3" borderId="6" xfId="1" applyNumberFormat="1" applyFont="1" applyFill="1" applyBorder="1" applyAlignment="1" applyProtection="1">
      <alignment horizontal="center" vertical="center"/>
      <protection locked="0"/>
    </xf>
    <xf numFmtId="9" fontId="6" fillId="3" borderId="6" xfId="5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6" xfId="1" applyNumberFormat="1" applyFont="1" applyFill="1" applyBorder="1" applyAlignment="1" applyProtection="1">
      <alignment vertical="center"/>
      <protection locked="0"/>
    </xf>
    <xf numFmtId="164" fontId="7" fillId="3" borderId="10" xfId="1" applyNumberFormat="1" applyFont="1" applyFill="1" applyBorder="1" applyAlignment="1" applyProtection="1">
      <alignment vertical="center"/>
      <protection locked="0"/>
    </xf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164" fontId="7" fillId="0" borderId="13" xfId="0" applyNumberFormat="1" applyFont="1" applyBorder="1"/>
    <xf numFmtId="164" fontId="7" fillId="0" borderId="18" xfId="0" applyNumberFormat="1" applyFont="1" applyBorder="1"/>
    <xf numFmtId="164" fontId="6" fillId="0" borderId="12" xfId="0" applyNumberFormat="1" applyFont="1" applyBorder="1" applyAlignment="1">
      <alignment vertical="center"/>
    </xf>
    <xf numFmtId="44" fontId="7" fillId="0" borderId="0" xfId="0" applyNumberFormat="1" applyFont="1"/>
    <xf numFmtId="164" fontId="6" fillId="0" borderId="16" xfId="0" applyNumberFormat="1" applyFont="1" applyBorder="1" applyAlignment="1" applyProtection="1">
      <alignment horizontal="center" wrapText="1"/>
      <protection locked="0"/>
    </xf>
    <xf numFmtId="9" fontId="7" fillId="0" borderId="3" xfId="5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44" fontId="7" fillId="3" borderId="19" xfId="1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locked="0"/>
    </xf>
    <xf numFmtId="44" fontId="7" fillId="3" borderId="0" xfId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right" vertical="center"/>
      <protection locked="0"/>
    </xf>
    <xf numFmtId="44" fontId="7" fillId="3" borderId="0" xfId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left" vertical="center" wrapText="1"/>
      <protection locked="0"/>
    </xf>
    <xf numFmtId="164" fontId="9" fillId="0" borderId="24" xfId="0" applyNumberFormat="1" applyFont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7" fillId="0" borderId="24" xfId="0" applyFont="1" applyBorder="1"/>
    <xf numFmtId="164" fontId="7" fillId="0" borderId="24" xfId="0" applyNumberFormat="1" applyFont="1" applyBorder="1" applyAlignment="1">
      <alignment vertical="center"/>
    </xf>
    <xf numFmtId="4" fontId="7" fillId="0" borderId="24" xfId="0" applyNumberFormat="1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6" fillId="0" borderId="24" xfId="0" applyFont="1" applyBorder="1" applyAlignment="1" applyProtection="1">
      <alignment horizontal="center"/>
      <protection locked="0"/>
    </xf>
    <xf numFmtId="0" fontId="7" fillId="0" borderId="24" xfId="0" applyFont="1" applyBorder="1" applyAlignment="1">
      <alignment horizontal="center"/>
    </xf>
    <xf numFmtId="0" fontId="6" fillId="0" borderId="25" xfId="0" applyFont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44" fontId="7" fillId="2" borderId="2" xfId="1" applyFont="1" applyFill="1" applyBorder="1" applyAlignment="1">
      <alignment vertical="center"/>
    </xf>
    <xf numFmtId="164" fontId="7" fillId="2" borderId="11" xfId="1" applyNumberFormat="1" applyFont="1" applyFill="1" applyBorder="1" applyAlignment="1">
      <alignment vertical="center"/>
    </xf>
    <xf numFmtId="164" fontId="7" fillId="2" borderId="3" xfId="1" applyNumberFormat="1" applyFont="1" applyFill="1" applyBorder="1" applyAlignment="1">
      <alignment vertical="center"/>
    </xf>
    <xf numFmtId="164" fontId="7" fillId="0" borderId="13" xfId="0" applyNumberFormat="1" applyFont="1" applyBorder="1" applyAlignment="1" applyProtection="1">
      <alignment horizontal="center" vertical="top" wrapText="1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9" fontId="7" fillId="3" borderId="0" xfId="5" applyFont="1" applyFill="1" applyBorder="1" applyAlignment="1">
      <alignment horizontal="center" vertical="center"/>
    </xf>
    <xf numFmtId="9" fontId="7" fillId="2" borderId="3" xfId="5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vertical="center"/>
    </xf>
    <xf numFmtId="9" fontId="7" fillId="2" borderId="11" xfId="5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0" xfId="0" quotePrefix="1" applyFont="1" applyAlignment="1">
      <alignment horizontal="center" vertical="center"/>
    </xf>
    <xf numFmtId="0" fontId="6" fillId="0" borderId="5" xfId="0" applyFont="1" applyBorder="1" applyAlignment="1" applyProtection="1">
      <alignment horizontal="right" vertical="center"/>
      <protection locked="0"/>
    </xf>
    <xf numFmtId="164" fontId="6" fillId="0" borderId="13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164" fontId="7" fillId="0" borderId="27" xfId="0" applyNumberFormat="1" applyFont="1" applyBorder="1" applyAlignment="1">
      <alignment vertical="center"/>
    </xf>
    <xf numFmtId="164" fontId="7" fillId="0" borderId="28" xfId="0" applyNumberFormat="1" applyFont="1" applyBorder="1" applyAlignment="1">
      <alignment vertical="center"/>
    </xf>
    <xf numFmtId="164" fontId="7" fillId="0" borderId="29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9" fontId="6" fillId="0" borderId="11" xfId="5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top" wrapText="1"/>
      <protection locked="0"/>
    </xf>
    <xf numFmtId="164" fontId="6" fillId="0" borderId="6" xfId="0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164" fontId="6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>
      <alignment vertical="center"/>
    </xf>
    <xf numFmtId="0" fontId="7" fillId="0" borderId="26" xfId="0" applyFont="1" applyBorder="1"/>
    <xf numFmtId="164" fontId="7" fillId="0" borderId="32" xfId="0" applyNumberFormat="1" applyFont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164" fontId="6" fillId="3" borderId="0" xfId="0" applyNumberFormat="1" applyFont="1" applyFill="1" applyAlignment="1" applyProtection="1">
      <alignment horizontal="center"/>
      <protection locked="0"/>
    </xf>
    <xf numFmtId="0" fontId="7" fillId="3" borderId="24" xfId="0" applyFont="1" applyFill="1" applyBorder="1"/>
    <xf numFmtId="164" fontId="6" fillId="3" borderId="12" xfId="0" applyNumberFormat="1" applyFont="1" applyFill="1" applyBorder="1" applyAlignment="1" applyProtection="1">
      <alignment horizontal="center" vertical="top" wrapText="1"/>
      <protection locked="0"/>
    </xf>
    <xf numFmtId="164" fontId="6" fillId="3" borderId="0" xfId="0" applyNumberFormat="1" applyFont="1" applyFill="1" applyAlignment="1" applyProtection="1">
      <alignment horizontal="center" wrapText="1"/>
      <protection locked="0"/>
    </xf>
    <xf numFmtId="3" fontId="13" fillId="3" borderId="24" xfId="0" applyNumberFormat="1" applyFont="1" applyFill="1" applyBorder="1" applyAlignment="1">
      <alignment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vertical="center"/>
    </xf>
    <xf numFmtId="164" fontId="8" fillId="3" borderId="24" xfId="0" applyNumberFormat="1" applyFont="1" applyFill="1" applyBorder="1" applyAlignment="1">
      <alignment vertical="center"/>
    </xf>
    <xf numFmtId="164" fontId="9" fillId="0" borderId="26" xfId="0" applyNumberFormat="1" applyFont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Border="1" applyAlignment="1" applyProtection="1">
      <alignment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3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4" fontId="7" fillId="0" borderId="27" xfId="1" applyNumberFormat="1" applyFont="1" applyFill="1" applyBorder="1" applyAlignment="1">
      <alignment vertical="center"/>
    </xf>
    <xf numFmtId="9" fontId="7" fillId="0" borderId="28" xfId="5" applyFont="1" applyFill="1" applyBorder="1" applyAlignment="1">
      <alignment horizontal="center" vertical="center"/>
    </xf>
    <xf numFmtId="164" fontId="7" fillId="0" borderId="29" xfId="1" applyNumberFormat="1" applyFont="1" applyFill="1" applyBorder="1" applyAlignment="1">
      <alignment vertical="center"/>
    </xf>
    <xf numFmtId="9" fontId="7" fillId="0" borderId="9" xfId="5" applyFont="1" applyBorder="1" applyAlignment="1">
      <alignment horizontal="center" vertical="center"/>
    </xf>
    <xf numFmtId="164" fontId="7" fillId="0" borderId="20" xfId="1" applyNumberFormat="1" applyFont="1" applyFill="1" applyBorder="1" applyAlignment="1">
      <alignment vertical="center"/>
    </xf>
    <xf numFmtId="164" fontId="7" fillId="0" borderId="13" xfId="0" applyNumberFormat="1" applyFont="1" applyBorder="1" applyAlignment="1" applyProtection="1">
      <alignment horizontal="left" vertical="top" wrapText="1"/>
      <protection locked="0"/>
    </xf>
    <xf numFmtId="164" fontId="7" fillId="0" borderId="34" xfId="1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9" fontId="6" fillId="0" borderId="30" xfId="5" applyFont="1" applyFill="1" applyBorder="1" applyAlignment="1">
      <alignment horizontal="center" vertical="center"/>
    </xf>
    <xf numFmtId="9" fontId="7" fillId="0" borderId="9" xfId="5" applyFont="1" applyFill="1" applyBorder="1" applyAlignment="1">
      <alignment horizontal="center" vertical="center"/>
    </xf>
    <xf numFmtId="9" fontId="6" fillId="0" borderId="16" xfId="5" applyFont="1" applyFill="1" applyBorder="1" applyAlignment="1">
      <alignment horizontal="center" vertical="center"/>
    </xf>
    <xf numFmtId="164" fontId="6" fillId="0" borderId="12" xfId="7" applyNumberFormat="1" applyFont="1" applyBorder="1" applyAlignment="1">
      <alignment vertical="center"/>
    </xf>
    <xf numFmtId="0" fontId="6" fillId="0" borderId="6" xfId="7" applyFont="1" applyBorder="1" applyAlignment="1" applyProtection="1">
      <alignment horizontal="right" vertical="center"/>
      <protection locked="0"/>
    </xf>
    <xf numFmtId="164" fontId="6" fillId="0" borderId="0" xfId="2" applyNumberFormat="1" applyFont="1" applyAlignment="1" applyProtection="1">
      <alignment horizontal="center" vertical="center"/>
      <protection locked="0"/>
    </xf>
    <xf numFmtId="164" fontId="6" fillId="0" borderId="36" xfId="2" applyNumberFormat="1" applyFont="1" applyBorder="1" applyAlignment="1" applyProtection="1">
      <alignment horizontal="center" vertical="center"/>
      <protection locked="0"/>
    </xf>
    <xf numFmtId="0" fontId="7" fillId="0" borderId="37" xfId="2" applyFont="1" applyBorder="1" applyAlignment="1" applyProtection="1">
      <alignment horizontal="left" vertical="center" wrapText="1"/>
      <protection locked="0"/>
    </xf>
    <xf numFmtId="0" fontId="7" fillId="0" borderId="8" xfId="2" applyFont="1" applyBorder="1" applyAlignment="1" applyProtection="1">
      <alignment vertical="center"/>
      <protection locked="0"/>
    </xf>
    <xf numFmtId="0" fontId="7" fillId="0" borderId="8" xfId="7" applyFont="1" applyBorder="1" applyAlignment="1" applyProtection="1">
      <alignment horizontal="left" vertical="center" wrapText="1"/>
      <protection locked="0"/>
    </xf>
    <xf numFmtId="0" fontId="7" fillId="0" borderId="23" xfId="7" applyFont="1" applyBorder="1" applyAlignment="1" applyProtection="1">
      <alignment horizontal="left" vertical="center" wrapText="1"/>
      <protection locked="0"/>
    </xf>
    <xf numFmtId="0" fontId="6" fillId="0" borderId="6" xfId="7" applyFont="1" applyBorder="1" applyAlignment="1" applyProtection="1">
      <alignment horizontal="center" vertical="center"/>
      <protection locked="0"/>
    </xf>
    <xf numFmtId="164" fontId="16" fillId="2" borderId="3" xfId="1" applyNumberFormat="1" applyFont="1" applyFill="1" applyBorder="1" applyAlignment="1">
      <alignment vertical="center"/>
    </xf>
    <xf numFmtId="164" fontId="16" fillId="0" borderId="6" xfId="0" applyNumberFormat="1" applyFont="1" applyBorder="1" applyAlignment="1">
      <alignment vertical="center"/>
    </xf>
    <xf numFmtId="164" fontId="16" fillId="0" borderId="17" xfId="0" applyNumberFormat="1" applyFont="1" applyBorder="1" applyAlignment="1">
      <alignment vertical="center"/>
    </xf>
    <xf numFmtId="164" fontId="16" fillId="0" borderId="9" xfId="0" applyNumberFormat="1" applyFont="1" applyBorder="1" applyAlignment="1">
      <alignment vertical="center"/>
    </xf>
    <xf numFmtId="164" fontId="7" fillId="2" borderId="4" xfId="1" applyNumberFormat="1" applyFont="1" applyFill="1" applyBorder="1" applyAlignment="1">
      <alignment vertical="center"/>
    </xf>
    <xf numFmtId="164" fontId="7" fillId="0" borderId="3" xfId="0" applyNumberFormat="1" applyFont="1" applyBorder="1" applyAlignment="1" applyProtection="1">
      <alignment horizontal="left" vertical="center" wrapText="1"/>
      <protection locked="0"/>
    </xf>
    <xf numFmtId="164" fontId="16" fillId="0" borderId="3" xfId="1" applyNumberFormat="1" applyFont="1" applyFill="1" applyBorder="1" applyAlignment="1">
      <alignment vertical="center"/>
    </xf>
    <xf numFmtId="164" fontId="16" fillId="0" borderId="29" xfId="0" applyNumberFormat="1" applyFont="1" applyBorder="1" applyAlignment="1">
      <alignment vertical="center"/>
    </xf>
    <xf numFmtId="9" fontId="7" fillId="0" borderId="38" xfId="5" applyFont="1" applyBorder="1" applyAlignment="1">
      <alignment horizontal="center" vertical="center"/>
    </xf>
    <xf numFmtId="9" fontId="6" fillId="0" borderId="2" xfId="5" applyFont="1" applyFill="1" applyBorder="1" applyAlignment="1">
      <alignment horizontal="center" vertical="center"/>
    </xf>
    <xf numFmtId="164" fontId="16" fillId="0" borderId="13" xfId="0" applyNumberFormat="1" applyFont="1" applyBorder="1" applyAlignment="1">
      <alignment vertical="center"/>
    </xf>
    <xf numFmtId="164" fontId="16" fillId="0" borderId="14" xfId="0" applyNumberFormat="1" applyFont="1" applyBorder="1" applyAlignment="1">
      <alignment vertical="center"/>
    </xf>
    <xf numFmtId="164" fontId="16" fillId="0" borderId="11" xfId="0" applyNumberFormat="1" applyFont="1" applyBorder="1" applyAlignment="1">
      <alignment vertical="center"/>
    </xf>
    <xf numFmtId="164" fontId="16" fillId="0" borderId="11" xfId="1" applyNumberFormat="1" applyFont="1" applyFill="1" applyBorder="1" applyAlignment="1">
      <alignment vertical="center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7" fillId="0" borderId="39" xfId="2" applyFont="1" applyBorder="1" applyAlignment="1" applyProtection="1">
      <alignment vertical="center"/>
      <protection locked="0"/>
    </xf>
    <xf numFmtId="164" fontId="7" fillId="0" borderId="28" xfId="2" applyNumberFormat="1" applyFont="1" applyBorder="1" applyAlignment="1" applyProtection="1">
      <alignment horizontal="center" vertical="center"/>
      <protection locked="0"/>
    </xf>
    <xf numFmtId="0" fontId="7" fillId="0" borderId="25" xfId="2" applyFont="1" applyBorder="1" applyAlignment="1">
      <alignment vertical="center"/>
    </xf>
    <xf numFmtId="164" fontId="7" fillId="0" borderId="9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vertical="center"/>
    </xf>
    <xf numFmtId="0" fontId="7" fillId="0" borderId="27" xfId="2" applyFont="1" applyBorder="1" applyAlignment="1" applyProtection="1">
      <alignment vertical="center"/>
      <protection locked="0"/>
    </xf>
    <xf numFmtId="164" fontId="7" fillId="0" borderId="28" xfId="1" applyNumberFormat="1" applyFont="1" applyFill="1" applyBorder="1" applyAlignment="1">
      <alignment vertical="center"/>
    </xf>
    <xf numFmtId="0" fontId="7" fillId="0" borderId="29" xfId="2" applyFont="1" applyBorder="1" applyAlignment="1" applyProtection="1">
      <alignment vertical="center"/>
      <protection locked="0"/>
    </xf>
    <xf numFmtId="0" fontId="7" fillId="0" borderId="29" xfId="2" applyFont="1" applyBorder="1" applyAlignment="1" applyProtection="1">
      <alignment horizontal="left" vertical="center" wrapText="1"/>
      <protection locked="0"/>
    </xf>
    <xf numFmtId="0" fontId="7" fillId="0" borderId="29" xfId="2" applyFont="1" applyBorder="1" applyAlignment="1">
      <alignment vertical="center"/>
    </xf>
    <xf numFmtId="0" fontId="7" fillId="0" borderId="40" xfId="2" applyFont="1" applyBorder="1" applyAlignment="1" applyProtection="1">
      <alignment horizontal="left"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164" fontId="9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</cellXfs>
  <cellStyles count="8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54517C6C-C965-4A45-AE39-06FD8337AE46}"/>
    <cellStyle name="Normal 4 2" xfId="6" xr:uid="{B32ABB4F-A5DB-4E55-843A-FE54A5BD22A4}"/>
    <cellStyle name="Normal 4 2 2" xfId="7" xr:uid="{5AC922D7-58A0-4528-882D-F767BBEC81E9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RFCD" id="{10EDCED1-B9B8-4D3B-8A7F-F5DC6F3B5936}" userId="RRFCD" providerId="None"/>
  <person displayName="Elizabeth Salomone" id="{B21A90E2-BF36-48B7-8C04-19C3A9144D06}" userId="b6e42423615cb32d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2" dT="2024-05-03T19:57:19.97" personId="{B21A90E2-BF36-48B7-8C04-19C3A9144D06}" id="{66E86E1C-F37A-4ABC-B159-7035AC7D4A8C}">
    <text>3% of gross salary for GM per contract.</text>
  </threadedComment>
  <threadedComment ref="B24" dT="2024-05-03T17:42:35.42" personId="{B21A90E2-BF36-48B7-8C04-19C3A9144D06}" id="{BA3CB620-6C4A-42BF-B6E4-813620C471BA}">
    <text>approx 1.5%  of gross</text>
  </threadedComment>
  <threadedComment ref="B28" personId="{10EDCED1-B9B8-4D3B-8A7F-F5DC6F3B5936}" id="{C2C5160D-258C-49B5-8CEA-57CB9F4E696A}">
    <text>CalPERS, Unfunded Accrued Liability (UAL) unpaid/unfunded benefits earned in prior years by employees and retirees. A fixed dollar payment, a payment plan so to speak, over 30 years.</text>
  </threadedComment>
  <threadedComment ref="B30" personId="{10EDCED1-B9B8-4D3B-8A7F-F5DC6F3B5936}" id="{B6898B8D-BCAE-448E-A542-01BEA71EB68B}">
    <text>CalPERS, Unfunded Accrued Liability (UAL) unpaid/unfunded benefits earned in prior years by employees and retirees. A fixed dollar payment, a payment plan so to speak, over 30 years.</text>
  </threadedComment>
  <threadedComment ref="B50" personId="{10EDCED1-B9B8-4D3B-8A7F-F5DC6F3B5936}" id="{9BB1E244-3A97-49BC-993C-59EA62B363BF}">
    <text>Part of this is a pass through for  N Gualala gage, and not shown as expense here.</text>
  </threadedComment>
  <threadedComment ref="D102" dT="2023-05-20T01:05:38.56" personId="{B21A90E2-BF36-48B7-8C04-19C3A9144D06}" id="{9C23BCF5-74B7-4E17-9F42-C3851A596927}">
    <text xml:space="preserve">Fixed assetts: 150,000
</text>
  </threadedComment>
  <threadedComment ref="I102" dT="2023-05-20T01:05:38.56" personId="{B21A90E2-BF36-48B7-8C04-19C3A9144D06}" id="{D2AC2FC3-AA45-4038-8243-7422F20A0CAE}">
    <text xml:space="preserve">Fixed assetts: 150,000
</text>
  </threadedComment>
  <threadedComment ref="D103" dT="2023-05-20T01:05:18.15" personId="{B21A90E2-BF36-48B7-8C04-19C3A9144D06}" id="{9386C35A-E014-48A1-85CC-0590D9A22070}">
    <text>Fixed assets: 150,000</text>
  </threadedComment>
  <threadedComment ref="I103" dT="2023-05-20T01:05:18.15" personId="{B21A90E2-BF36-48B7-8C04-19C3A9144D06}" id="{8F2AB4F3-3B76-40F1-9845-7407C0C29A9A}">
    <text>Fixed assets: 150,000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opLeftCell="A89" zoomScale="90" zoomScaleNormal="90" zoomScaleSheetLayoutView="30" workbookViewId="0">
      <selection activeCell="F7" sqref="F7"/>
    </sheetView>
  </sheetViews>
  <sheetFormatPr defaultRowHeight="18.75" x14ac:dyDescent="0.3"/>
  <cols>
    <col min="1" max="1" width="9" style="4" customWidth="1"/>
    <col min="2" max="2" width="50.28515625" style="3" customWidth="1"/>
    <col min="3" max="3" width="2.42578125" style="3" customWidth="1"/>
    <col min="4" max="4" width="16.7109375" style="8" customWidth="1"/>
    <col min="5" max="5" width="17.140625" style="3" customWidth="1"/>
    <col min="6" max="6" width="17" style="8" customWidth="1"/>
    <col min="7" max="7" width="13.42578125" style="23" customWidth="1"/>
    <col min="8" max="8" width="2.42578125" style="3" customWidth="1"/>
    <col min="9" max="9" width="16.7109375" style="8" customWidth="1"/>
    <col min="10" max="10" width="17" style="8" customWidth="1"/>
    <col min="11" max="11" width="14.140625" style="8" customWidth="1"/>
    <col min="12" max="12" width="1.85546875" style="8" customWidth="1"/>
    <col min="13" max="13" width="78.28515625" style="3" customWidth="1"/>
    <col min="14" max="14" width="63.5703125" style="3" customWidth="1"/>
    <col min="15" max="16384" width="9.140625" style="3"/>
  </cols>
  <sheetData>
    <row r="1" spans="1:14" ht="34.5" customHeight="1" thickBot="1" x14ac:dyDescent="0.35"/>
    <row r="2" spans="1:14" ht="24.95" customHeight="1" x14ac:dyDescent="0.3">
      <c r="A2" s="223"/>
      <c r="B2" s="224" t="s">
        <v>64</v>
      </c>
      <c r="C2" s="6"/>
      <c r="D2" s="75" t="s">
        <v>21</v>
      </c>
      <c r="E2" s="75" t="s">
        <v>21</v>
      </c>
      <c r="F2" s="129" t="s">
        <v>139</v>
      </c>
      <c r="G2" s="168" t="s">
        <v>52</v>
      </c>
      <c r="H2" s="6"/>
      <c r="I2" s="75" t="s">
        <v>106</v>
      </c>
      <c r="J2" s="129" t="s">
        <v>59</v>
      </c>
      <c r="K2" s="129" t="s">
        <v>58</v>
      </c>
      <c r="L2" s="46"/>
      <c r="M2" s="222" t="s">
        <v>19</v>
      </c>
    </row>
    <row r="3" spans="1:14" ht="58.5" customHeight="1" thickBot="1" x14ac:dyDescent="0.35">
      <c r="A3" s="223"/>
      <c r="B3" s="225"/>
      <c r="C3" s="1"/>
      <c r="D3" s="62" t="s">
        <v>91</v>
      </c>
      <c r="E3" s="95" t="s">
        <v>96</v>
      </c>
      <c r="F3" s="149" t="s">
        <v>140</v>
      </c>
      <c r="G3" s="149" t="s">
        <v>57</v>
      </c>
      <c r="H3" s="63"/>
      <c r="I3" s="62" t="s">
        <v>133</v>
      </c>
      <c r="J3" s="149" t="s">
        <v>136</v>
      </c>
      <c r="K3" s="149" t="s">
        <v>60</v>
      </c>
      <c r="L3" s="47"/>
      <c r="M3" s="222"/>
    </row>
    <row r="4" spans="1:14" s="5" customFormat="1" ht="35.1" customHeight="1" x14ac:dyDescent="0.2">
      <c r="A4" s="4">
        <v>4001</v>
      </c>
      <c r="B4" s="10" t="s">
        <v>7</v>
      </c>
      <c r="C4" s="2"/>
      <c r="D4" s="14">
        <f>SUM(7497.15*68)</f>
        <v>509806.19999999995</v>
      </c>
      <c r="E4" s="14">
        <v>540513</v>
      </c>
      <c r="F4" s="14">
        <f>SUM(E4-D4)</f>
        <v>30706.800000000047</v>
      </c>
      <c r="G4" s="41">
        <f>(E4-D4)/D4</f>
        <v>6.0232300038720696E-2</v>
      </c>
      <c r="H4" s="2"/>
      <c r="I4" s="204">
        <f>SUM(7497.15*61)</f>
        <v>457326.14999999997</v>
      </c>
      <c r="J4" s="14">
        <f>SUM(I4-D4)</f>
        <v>-52480.049999999988</v>
      </c>
      <c r="K4" s="41">
        <f>(I4-D4)/D4</f>
        <v>-0.10294117647058822</v>
      </c>
      <c r="L4" s="44"/>
      <c r="M4" s="113" t="s">
        <v>142</v>
      </c>
    </row>
    <row r="5" spans="1:14" s="5" customFormat="1" ht="35.25" customHeight="1" x14ac:dyDescent="0.2">
      <c r="A5" s="4">
        <v>4050</v>
      </c>
      <c r="B5" s="10" t="s">
        <v>1</v>
      </c>
      <c r="C5" s="2"/>
      <c r="D5" s="7">
        <v>55000</v>
      </c>
      <c r="E5" s="7">
        <v>83267</v>
      </c>
      <c r="F5" s="14">
        <f t="shared" ref="F5:F7" si="0">SUM(E5-D5)</f>
        <v>28267</v>
      </c>
      <c r="G5" s="41">
        <f t="shared" ref="G5:G7" si="1">(E5-D5)/D5</f>
        <v>0.51394545454545459</v>
      </c>
      <c r="H5" s="2"/>
      <c r="I5" s="7">
        <v>65000</v>
      </c>
      <c r="J5" s="7">
        <f>SUM(I5-D5)</f>
        <v>10000</v>
      </c>
      <c r="K5" s="32">
        <f>(I5-D5)/D5</f>
        <v>0.18181818181818182</v>
      </c>
      <c r="L5" s="44"/>
      <c r="M5" s="113" t="s">
        <v>107</v>
      </c>
    </row>
    <row r="6" spans="1:14" s="5" customFormat="1" ht="35.1" customHeight="1" x14ac:dyDescent="0.2">
      <c r="A6" s="4">
        <v>4080</v>
      </c>
      <c r="B6" s="10" t="s">
        <v>23</v>
      </c>
      <c r="C6" s="2"/>
      <c r="D6" s="7">
        <v>3000</v>
      </c>
      <c r="E6" s="7">
        <v>15100</v>
      </c>
      <c r="F6" s="14">
        <f t="shared" si="0"/>
        <v>12100</v>
      </c>
      <c r="G6" s="41">
        <f t="shared" si="1"/>
        <v>4.0333333333333332</v>
      </c>
      <c r="H6" s="2"/>
      <c r="I6" s="7">
        <v>15000</v>
      </c>
      <c r="J6" s="7">
        <f>SUM(I6-D6)</f>
        <v>12000</v>
      </c>
      <c r="K6" s="32">
        <f>(I6-D6)/D6</f>
        <v>4</v>
      </c>
      <c r="L6" s="44"/>
      <c r="M6" s="115"/>
    </row>
    <row r="7" spans="1:14" s="5" customFormat="1" ht="35.1" customHeight="1" thickBot="1" x14ac:dyDescent="0.25">
      <c r="A7" s="4">
        <v>4081</v>
      </c>
      <c r="B7" s="10" t="s">
        <v>24</v>
      </c>
      <c r="C7" s="2"/>
      <c r="D7" s="7">
        <v>100</v>
      </c>
      <c r="E7" s="7">
        <v>55</v>
      </c>
      <c r="F7" s="14">
        <f t="shared" si="0"/>
        <v>-45</v>
      </c>
      <c r="G7" s="41">
        <f t="shared" si="1"/>
        <v>-0.45</v>
      </c>
      <c r="H7" s="2"/>
      <c r="I7" s="7">
        <v>50</v>
      </c>
      <c r="J7" s="7">
        <f>SUM(I7-D7)</f>
        <v>-50</v>
      </c>
      <c r="K7" s="36">
        <f>(I7-D7)/D7</f>
        <v>-0.5</v>
      </c>
      <c r="L7" s="44"/>
      <c r="M7" s="115"/>
    </row>
    <row r="8" spans="1:14" s="5" customFormat="1" ht="39.950000000000003" customHeight="1" thickBot="1" x14ac:dyDescent="0.25">
      <c r="A8" s="4"/>
      <c r="B8" s="17" t="s">
        <v>65</v>
      </c>
      <c r="C8" s="9"/>
      <c r="D8" s="76">
        <f>SUM(D4:D7)</f>
        <v>567906.19999999995</v>
      </c>
      <c r="E8" s="76">
        <f>SUM(E4:E7)</f>
        <v>638935</v>
      </c>
      <c r="F8" s="76">
        <f>SUM(F4:F7)</f>
        <v>71028.800000000047</v>
      </c>
      <c r="G8" s="37">
        <f>(E8-D8)/D8</f>
        <v>0.12507135861520802</v>
      </c>
      <c r="H8" s="9"/>
      <c r="I8" s="192">
        <f>SUM(I4:I7)</f>
        <v>537376.14999999991</v>
      </c>
      <c r="J8" s="76">
        <f>SUM(J4:J7)</f>
        <v>-30530.049999999988</v>
      </c>
      <c r="K8" s="37">
        <f>(I8-D8)/D8</f>
        <v>-5.375896582921625E-2</v>
      </c>
      <c r="L8" s="38"/>
      <c r="M8" s="116"/>
    </row>
    <row r="9" spans="1:14" s="5" customFormat="1" ht="12.75" customHeight="1" thickBot="1" x14ac:dyDescent="0.25">
      <c r="A9" s="4"/>
      <c r="B9" s="20"/>
      <c r="C9" s="12"/>
      <c r="D9" s="12"/>
      <c r="E9" s="12"/>
      <c r="F9" s="12"/>
      <c r="G9" s="33"/>
      <c r="H9" s="12"/>
      <c r="I9" s="12"/>
      <c r="J9" s="12"/>
      <c r="K9" s="12"/>
      <c r="L9" s="12"/>
      <c r="M9" s="116"/>
    </row>
    <row r="10" spans="1:14" s="5" customFormat="1" ht="22.5" customHeight="1" thickBot="1" x14ac:dyDescent="0.25">
      <c r="A10" s="4"/>
      <c r="B10" s="61" t="s">
        <v>66</v>
      </c>
      <c r="C10" s="12"/>
      <c r="D10" s="16"/>
      <c r="E10" s="16"/>
      <c r="F10" s="16"/>
      <c r="G10" s="16"/>
      <c r="H10" s="12"/>
      <c r="I10" s="16"/>
      <c r="J10" s="16"/>
      <c r="K10" s="16"/>
      <c r="L10" s="16"/>
      <c r="M10" s="116"/>
    </row>
    <row r="11" spans="1:14" s="4" customFormat="1" ht="27.75" customHeight="1" x14ac:dyDescent="0.3">
      <c r="A11" s="4">
        <v>4002</v>
      </c>
      <c r="B11" s="11" t="s">
        <v>18</v>
      </c>
      <c r="D11" s="16"/>
      <c r="E11" s="169">
        <v>39278</v>
      </c>
      <c r="F11" s="16"/>
      <c r="G11" s="34"/>
      <c r="H11" s="23"/>
      <c r="I11" s="16"/>
      <c r="J11" s="16"/>
      <c r="K11" s="16"/>
      <c r="L11" s="16"/>
      <c r="M11" s="117" t="s">
        <v>42</v>
      </c>
      <c r="N11" s="3"/>
    </row>
    <row r="12" spans="1:14" s="5" customFormat="1" ht="35.1" customHeight="1" x14ac:dyDescent="0.2">
      <c r="A12" s="4">
        <v>4010</v>
      </c>
      <c r="B12" s="10" t="s">
        <v>2</v>
      </c>
      <c r="C12" s="4"/>
      <c r="D12" s="16"/>
      <c r="E12" s="7">
        <v>800</v>
      </c>
      <c r="F12" s="16"/>
      <c r="G12" s="34"/>
      <c r="H12" s="23"/>
      <c r="I12" s="16"/>
      <c r="J12" s="16"/>
      <c r="K12" s="16"/>
      <c r="L12" s="44"/>
      <c r="M12" s="114" t="s">
        <v>111</v>
      </c>
    </row>
    <row r="13" spans="1:14" s="5" customFormat="1" ht="35.1" customHeight="1" thickBot="1" x14ac:dyDescent="0.25">
      <c r="A13" s="4">
        <v>4100</v>
      </c>
      <c r="B13" s="10" t="s">
        <v>22</v>
      </c>
      <c r="C13" s="4"/>
      <c r="D13" s="16"/>
      <c r="E13" s="170">
        <v>268</v>
      </c>
      <c r="F13" s="16"/>
      <c r="G13" s="34"/>
      <c r="H13" s="23"/>
      <c r="I13" s="16"/>
      <c r="J13" s="16"/>
      <c r="K13" s="16"/>
      <c r="L13" s="16"/>
      <c r="M13" s="115" t="s">
        <v>41</v>
      </c>
    </row>
    <row r="14" spans="1:14" s="5" customFormat="1" ht="22.5" customHeight="1" thickTop="1" thickBot="1" x14ac:dyDescent="0.35">
      <c r="A14" s="4"/>
      <c r="B14" s="19" t="s">
        <v>67</v>
      </c>
      <c r="C14" s="4"/>
      <c r="D14" s="16"/>
      <c r="E14" s="98">
        <f>SUM(E11:E13)</f>
        <v>40346</v>
      </c>
      <c r="F14" s="16"/>
      <c r="G14" s="34"/>
      <c r="H14" s="23"/>
      <c r="I14" s="16"/>
      <c r="J14" s="16"/>
      <c r="K14" s="16"/>
      <c r="L14" s="16"/>
      <c r="M14" s="117"/>
    </row>
    <row r="15" spans="1:14" ht="10.5" customHeight="1" thickBot="1" x14ac:dyDescent="0.35">
      <c r="E15" s="99"/>
      <c r="M15" s="117"/>
    </row>
    <row r="16" spans="1:14" s="5" customFormat="1" ht="39.950000000000003" customHeight="1" thickBot="1" x14ac:dyDescent="0.35">
      <c r="A16" s="4"/>
      <c r="B16" s="17" t="s">
        <v>3</v>
      </c>
      <c r="C16" s="18"/>
      <c r="D16" s="76">
        <f>SUM(D8+D14)</f>
        <v>567906.19999999995</v>
      </c>
      <c r="E16" s="76">
        <f>SUM(E8+E14)</f>
        <v>679281</v>
      </c>
      <c r="F16" s="28">
        <f>SUM(E16-D16)</f>
        <v>111374.80000000005</v>
      </c>
      <c r="G16" s="37">
        <f>(E16-D16)/D16</f>
        <v>0.19611478092685034</v>
      </c>
      <c r="H16" s="18"/>
      <c r="I16" s="192">
        <f>SUM(I8)</f>
        <v>537376.14999999991</v>
      </c>
      <c r="J16" s="28">
        <f>SUM(I16-D16)</f>
        <v>-30530.050000000047</v>
      </c>
      <c r="K16" s="37">
        <f>(I16-D16)/D16</f>
        <v>-5.375896582921625E-2</v>
      </c>
      <c r="L16" s="38"/>
      <c r="M16" s="117"/>
    </row>
    <row r="17" spans="1:13" ht="33" customHeight="1" thickBot="1" x14ac:dyDescent="0.35">
      <c r="E17" s="99"/>
      <c r="M17" s="117"/>
    </row>
    <row r="18" spans="1:13" ht="20.100000000000001" customHeight="1" x14ac:dyDescent="0.3">
      <c r="B18" s="224" t="s">
        <v>25</v>
      </c>
      <c r="C18" s="6"/>
      <c r="D18" s="75" t="s">
        <v>21</v>
      </c>
      <c r="E18" s="75" t="s">
        <v>21</v>
      </c>
      <c r="F18" s="129" t="s">
        <v>139</v>
      </c>
      <c r="G18" s="31" t="s">
        <v>52</v>
      </c>
      <c r="H18" s="6"/>
      <c r="I18" s="75" t="s">
        <v>106</v>
      </c>
      <c r="J18" s="129" t="s">
        <v>59</v>
      </c>
      <c r="K18" s="75" t="s">
        <v>58</v>
      </c>
      <c r="L18" s="46"/>
      <c r="M18" s="222" t="s">
        <v>0</v>
      </c>
    </row>
    <row r="19" spans="1:13" ht="57.75" customHeight="1" thickBot="1" x14ac:dyDescent="0.35">
      <c r="A19" s="22"/>
      <c r="B19" s="225"/>
      <c r="C19" s="1"/>
      <c r="D19" s="62" t="s">
        <v>92</v>
      </c>
      <c r="E19" s="95" t="s">
        <v>96</v>
      </c>
      <c r="F19" s="149" t="s">
        <v>140</v>
      </c>
      <c r="G19" s="62" t="s">
        <v>57</v>
      </c>
      <c r="H19" s="63"/>
      <c r="I19" s="62" t="s">
        <v>133</v>
      </c>
      <c r="J19" s="149" t="s">
        <v>136</v>
      </c>
      <c r="K19" s="62" t="s">
        <v>60</v>
      </c>
      <c r="L19" s="47"/>
      <c r="M19" s="222"/>
    </row>
    <row r="20" spans="1:13" s="5" customFormat="1" ht="30" customHeight="1" x14ac:dyDescent="0.2">
      <c r="A20" s="4">
        <v>5001</v>
      </c>
      <c r="B20" s="15" t="s">
        <v>26</v>
      </c>
      <c r="C20" s="2"/>
      <c r="D20" s="14">
        <v>193000</v>
      </c>
      <c r="E20" s="14">
        <v>120000</v>
      </c>
      <c r="F20" s="14">
        <f>SUM(E20-D20)</f>
        <v>-73000</v>
      </c>
      <c r="G20" s="41">
        <f t="shared" ref="G20:G29" si="2">(E20-D20)/D20</f>
        <v>-0.37823834196891193</v>
      </c>
      <c r="H20" s="24"/>
      <c r="I20" s="14">
        <v>144000</v>
      </c>
      <c r="J20" s="14">
        <f t="shared" ref="J20:J29" si="3">SUM(I20-D20)</f>
        <v>-49000</v>
      </c>
      <c r="K20" s="41">
        <f t="shared" ref="K20:K28" si="4">(I20-D20)/D20</f>
        <v>-0.25388601036269431</v>
      </c>
      <c r="L20" s="44"/>
      <c r="M20" s="118" t="s">
        <v>116</v>
      </c>
    </row>
    <row r="21" spans="1:13" s="5" customFormat="1" ht="30" customHeight="1" x14ac:dyDescent="0.2">
      <c r="A21" s="4">
        <v>5002</v>
      </c>
      <c r="B21" s="15" t="s">
        <v>27</v>
      </c>
      <c r="C21" s="2"/>
      <c r="D21" s="14">
        <v>14000</v>
      </c>
      <c r="E21" s="7">
        <v>8500</v>
      </c>
      <c r="F21" s="14">
        <f t="shared" ref="F21:F30" si="5">SUM(E21-D21)</f>
        <v>-5500</v>
      </c>
      <c r="G21" s="32">
        <f t="shared" si="2"/>
        <v>-0.39285714285714285</v>
      </c>
      <c r="H21" s="24"/>
      <c r="I21" s="14">
        <v>12000</v>
      </c>
      <c r="J21" s="7">
        <f t="shared" si="3"/>
        <v>-2000</v>
      </c>
      <c r="K21" s="32">
        <f t="shared" si="4"/>
        <v>-0.14285714285714285</v>
      </c>
      <c r="L21" s="44"/>
      <c r="M21" s="118"/>
    </row>
    <row r="22" spans="1:13" s="5" customFormat="1" ht="30" customHeight="1" x14ac:dyDescent="0.2">
      <c r="A22" s="4">
        <v>5003</v>
      </c>
      <c r="B22" s="15" t="s">
        <v>28</v>
      </c>
      <c r="C22" s="2"/>
      <c r="D22" s="14">
        <v>4500</v>
      </c>
      <c r="E22" s="7">
        <v>3600</v>
      </c>
      <c r="F22" s="14">
        <f t="shared" si="5"/>
        <v>-900</v>
      </c>
      <c r="G22" s="32">
        <f t="shared" si="2"/>
        <v>-0.2</v>
      </c>
      <c r="H22" s="24"/>
      <c r="I22" s="14">
        <v>4500</v>
      </c>
      <c r="J22" s="7">
        <f t="shared" si="3"/>
        <v>0</v>
      </c>
      <c r="K22" s="32">
        <f t="shared" si="4"/>
        <v>0</v>
      </c>
      <c r="L22" s="44"/>
      <c r="M22" s="118"/>
    </row>
    <row r="23" spans="1:13" s="5" customFormat="1" ht="30" customHeight="1" x14ac:dyDescent="0.2">
      <c r="A23" s="4">
        <v>5004</v>
      </c>
      <c r="B23" s="15" t="s">
        <v>29</v>
      </c>
      <c r="C23" s="2"/>
      <c r="D23" s="14">
        <v>25000</v>
      </c>
      <c r="E23" s="7">
        <v>15000</v>
      </c>
      <c r="F23" s="14">
        <f t="shared" si="5"/>
        <v>-10000</v>
      </c>
      <c r="G23" s="32">
        <f t="shared" si="2"/>
        <v>-0.4</v>
      </c>
      <c r="H23" s="24"/>
      <c r="I23" s="14">
        <v>20000</v>
      </c>
      <c r="J23" s="7">
        <f t="shared" si="3"/>
        <v>-5000</v>
      </c>
      <c r="K23" s="32">
        <f t="shared" si="4"/>
        <v>-0.2</v>
      </c>
      <c r="L23" s="44"/>
      <c r="M23" s="118"/>
    </row>
    <row r="24" spans="1:13" s="5" customFormat="1" ht="30" customHeight="1" x14ac:dyDescent="0.2">
      <c r="A24" s="4">
        <v>5005</v>
      </c>
      <c r="B24" s="15" t="s">
        <v>30</v>
      </c>
      <c r="C24" s="2"/>
      <c r="D24" s="14">
        <v>3000</v>
      </c>
      <c r="E24" s="7">
        <v>2000</v>
      </c>
      <c r="F24" s="14">
        <f t="shared" si="5"/>
        <v>-1000</v>
      </c>
      <c r="G24" s="32">
        <f t="shared" si="2"/>
        <v>-0.33333333333333331</v>
      </c>
      <c r="H24" s="24"/>
      <c r="I24" s="14">
        <v>2000</v>
      </c>
      <c r="J24" s="7">
        <f t="shared" si="3"/>
        <v>-1000</v>
      </c>
      <c r="K24" s="32">
        <f t="shared" si="4"/>
        <v>-0.33333333333333331</v>
      </c>
      <c r="L24" s="44"/>
      <c r="M24" s="118"/>
    </row>
    <row r="25" spans="1:13" s="5" customFormat="1" ht="30" customHeight="1" x14ac:dyDescent="0.2">
      <c r="A25" s="4">
        <v>5006</v>
      </c>
      <c r="B25" s="15" t="s">
        <v>46</v>
      </c>
      <c r="C25" s="2"/>
      <c r="D25" s="14">
        <v>15000</v>
      </c>
      <c r="E25" s="7">
        <v>8300</v>
      </c>
      <c r="F25" s="14">
        <f t="shared" si="5"/>
        <v>-6700</v>
      </c>
      <c r="G25" s="32">
        <f t="shared" si="2"/>
        <v>-0.44666666666666666</v>
      </c>
      <c r="H25" s="24"/>
      <c r="I25" s="14">
        <v>10000</v>
      </c>
      <c r="J25" s="7">
        <f t="shared" si="3"/>
        <v>-5000</v>
      </c>
      <c r="K25" s="32">
        <f t="shared" si="4"/>
        <v>-0.33333333333333331</v>
      </c>
      <c r="L25" s="44"/>
      <c r="M25" s="118"/>
    </row>
    <row r="26" spans="1:13" s="5" customFormat="1" ht="30" customHeight="1" x14ac:dyDescent="0.2">
      <c r="A26" s="4">
        <v>5007</v>
      </c>
      <c r="B26" s="15" t="s">
        <v>31</v>
      </c>
      <c r="C26" s="2"/>
      <c r="D26" s="14">
        <v>300</v>
      </c>
      <c r="E26" s="7">
        <v>60</v>
      </c>
      <c r="F26" s="14">
        <f t="shared" si="5"/>
        <v>-240</v>
      </c>
      <c r="G26" s="32">
        <f t="shared" si="2"/>
        <v>-0.8</v>
      </c>
      <c r="H26" s="24"/>
      <c r="I26" s="14">
        <v>100</v>
      </c>
      <c r="J26" s="7">
        <f t="shared" si="3"/>
        <v>-200</v>
      </c>
      <c r="K26" s="32">
        <f t="shared" si="4"/>
        <v>-0.66666666666666663</v>
      </c>
      <c r="L26" s="44"/>
      <c r="M26" s="115"/>
    </row>
    <row r="27" spans="1:13" s="5" customFormat="1" ht="30" customHeight="1" x14ac:dyDescent="0.2">
      <c r="A27" s="4">
        <v>5008</v>
      </c>
      <c r="B27" s="15" t="s">
        <v>32</v>
      </c>
      <c r="C27" s="2"/>
      <c r="D27" s="7">
        <v>800</v>
      </c>
      <c r="E27" s="7">
        <v>700</v>
      </c>
      <c r="F27" s="14">
        <f t="shared" si="5"/>
        <v>-100</v>
      </c>
      <c r="G27" s="32">
        <f t="shared" si="2"/>
        <v>-0.125</v>
      </c>
      <c r="H27" s="24"/>
      <c r="I27" s="7">
        <v>800</v>
      </c>
      <c r="J27" s="7">
        <f t="shared" si="3"/>
        <v>0</v>
      </c>
      <c r="K27" s="32">
        <f t="shared" si="4"/>
        <v>0</v>
      </c>
      <c r="L27" s="44"/>
      <c r="M27" s="115"/>
    </row>
    <row r="28" spans="1:13" s="5" customFormat="1" ht="30" customHeight="1" x14ac:dyDescent="0.2">
      <c r="A28" s="4">
        <v>5009</v>
      </c>
      <c r="B28" s="15" t="s">
        <v>14</v>
      </c>
      <c r="C28" s="2"/>
      <c r="D28" s="7">
        <v>9500</v>
      </c>
      <c r="E28" s="25">
        <v>5500</v>
      </c>
      <c r="F28" s="14">
        <f t="shared" si="5"/>
        <v>-4000</v>
      </c>
      <c r="G28" s="32">
        <f t="shared" si="2"/>
        <v>-0.42105263157894735</v>
      </c>
      <c r="H28" s="24"/>
      <c r="I28" s="7">
        <v>6000</v>
      </c>
      <c r="J28" s="7">
        <f t="shared" si="3"/>
        <v>-3500</v>
      </c>
      <c r="K28" s="32">
        <f t="shared" si="4"/>
        <v>-0.36842105263157893</v>
      </c>
      <c r="L28" s="44"/>
      <c r="M28" s="115" t="s">
        <v>117</v>
      </c>
    </row>
    <row r="29" spans="1:13" s="5" customFormat="1" ht="30" customHeight="1" x14ac:dyDescent="0.2">
      <c r="A29" s="4">
        <v>5011</v>
      </c>
      <c r="B29" s="15" t="s">
        <v>56</v>
      </c>
      <c r="C29" s="2"/>
      <c r="D29" s="7">
        <v>7000</v>
      </c>
      <c r="E29" s="25">
        <v>0</v>
      </c>
      <c r="F29" s="14">
        <f t="shared" si="5"/>
        <v>-7000</v>
      </c>
      <c r="G29" s="32">
        <f t="shared" si="2"/>
        <v>-1</v>
      </c>
      <c r="H29" s="24"/>
      <c r="I29" s="7">
        <v>0</v>
      </c>
      <c r="J29" s="25">
        <f t="shared" si="3"/>
        <v>-7000</v>
      </c>
      <c r="K29" s="32">
        <f t="shared" ref="K29" si="6">(I29-D29)/D29</f>
        <v>-1</v>
      </c>
      <c r="L29" s="44"/>
      <c r="M29" s="115" t="s">
        <v>143</v>
      </c>
    </row>
    <row r="30" spans="1:13" s="5" customFormat="1" ht="30" customHeight="1" thickBot="1" x14ac:dyDescent="0.25">
      <c r="A30" s="4"/>
      <c r="B30" s="15" t="s">
        <v>40</v>
      </c>
      <c r="C30" s="2"/>
      <c r="E30" s="7">
        <v>15000</v>
      </c>
      <c r="F30" s="14">
        <f t="shared" si="5"/>
        <v>15000</v>
      </c>
      <c r="G30" s="36"/>
      <c r="H30" s="24"/>
      <c r="I30" s="7">
        <v>0</v>
      </c>
      <c r="J30" s="25">
        <f>SUM(I30-E30)</f>
        <v>-15000</v>
      </c>
      <c r="K30" s="32"/>
      <c r="L30" s="44"/>
      <c r="M30" s="115" t="s">
        <v>118</v>
      </c>
    </row>
    <row r="31" spans="1:13" s="5" customFormat="1" ht="39.950000000000003" customHeight="1" thickBot="1" x14ac:dyDescent="0.25">
      <c r="A31" s="4"/>
      <c r="B31" s="13" t="s">
        <v>33</v>
      </c>
      <c r="C31" s="9"/>
      <c r="D31" s="76">
        <f>SUM(D20:D30)</f>
        <v>272100</v>
      </c>
      <c r="E31" s="76">
        <f>SUM(E20:E30)</f>
        <v>178660</v>
      </c>
      <c r="F31" s="28">
        <f>SUM(F20:F30)</f>
        <v>-93440</v>
      </c>
      <c r="G31" s="37">
        <f>(E31-D31)/D31</f>
        <v>-0.34340316060271958</v>
      </c>
      <c r="H31" s="26"/>
      <c r="I31" s="76">
        <f>SUM(I20:I30)</f>
        <v>199400</v>
      </c>
      <c r="J31" s="28">
        <f>SUM(I31-D31)</f>
        <v>-72700</v>
      </c>
      <c r="K31" s="37">
        <f>(I31-D31)/D31</f>
        <v>-0.26718118338846014</v>
      </c>
      <c r="L31" s="38"/>
      <c r="M31" s="115"/>
    </row>
    <row r="32" spans="1:13" ht="49.5" customHeight="1" thickBot="1" x14ac:dyDescent="0.35">
      <c r="M32" s="117"/>
    </row>
    <row r="33" spans="1:13" ht="20.100000000000001" customHeight="1" x14ac:dyDescent="0.3">
      <c r="B33" s="224" t="s">
        <v>112</v>
      </c>
      <c r="C33" s="6"/>
      <c r="D33" s="75" t="s">
        <v>21</v>
      </c>
      <c r="E33" s="75" t="s">
        <v>21</v>
      </c>
      <c r="F33" s="129" t="s">
        <v>139</v>
      </c>
      <c r="G33" s="31" t="s">
        <v>52</v>
      </c>
      <c r="H33" s="6"/>
      <c r="I33" s="129" t="s">
        <v>106</v>
      </c>
      <c r="J33" s="129" t="s">
        <v>59</v>
      </c>
      <c r="K33" s="75" t="s">
        <v>58</v>
      </c>
      <c r="L33" s="46"/>
      <c r="M33" s="222" t="s">
        <v>0</v>
      </c>
    </row>
    <row r="34" spans="1:13" ht="63.75" customHeight="1" thickBot="1" x14ac:dyDescent="0.35">
      <c r="B34" s="225"/>
      <c r="C34" s="63"/>
      <c r="D34" s="62" t="s">
        <v>92</v>
      </c>
      <c r="E34" s="95" t="s">
        <v>96</v>
      </c>
      <c r="F34" s="149" t="s">
        <v>140</v>
      </c>
      <c r="G34" s="62" t="s">
        <v>57</v>
      </c>
      <c r="H34" s="63"/>
      <c r="I34" s="62" t="s">
        <v>133</v>
      </c>
      <c r="J34" s="149" t="s">
        <v>136</v>
      </c>
      <c r="K34" s="62" t="s">
        <v>60</v>
      </c>
      <c r="L34" s="47"/>
      <c r="M34" s="222"/>
    </row>
    <row r="35" spans="1:13" x14ac:dyDescent="0.3">
      <c r="A35" s="4">
        <v>5020</v>
      </c>
      <c r="B35" s="134" t="s">
        <v>114</v>
      </c>
      <c r="C35" s="63"/>
      <c r="D35" s="14">
        <v>25000</v>
      </c>
      <c r="E35" s="128">
        <f>SUM(E36:E40)</f>
        <v>34350</v>
      </c>
      <c r="F35" s="128">
        <f>SUM(E35-D35)</f>
        <v>9350</v>
      </c>
      <c r="G35" s="32">
        <f>(E35-D35)/D35</f>
        <v>0.374</v>
      </c>
      <c r="H35" s="123"/>
      <c r="I35" s="128">
        <f>SUM(I36:I40)</f>
        <v>31500</v>
      </c>
      <c r="J35" s="176">
        <f>SUM(I35-D35)</f>
        <v>6500</v>
      </c>
      <c r="K35" s="32">
        <f>(I35-D35)/D35</f>
        <v>0.26</v>
      </c>
      <c r="L35" s="47"/>
      <c r="M35" s="115" t="s">
        <v>119</v>
      </c>
    </row>
    <row r="36" spans="1:13" s="5" customFormat="1" ht="30" customHeight="1" x14ac:dyDescent="0.2">
      <c r="A36" s="4">
        <v>5021</v>
      </c>
      <c r="B36" s="124" t="s">
        <v>97</v>
      </c>
      <c r="C36" s="125"/>
      <c r="D36" s="126"/>
      <c r="E36" s="126">
        <v>15150</v>
      </c>
      <c r="F36" s="126"/>
      <c r="G36" s="133"/>
      <c r="H36" s="132"/>
      <c r="I36" s="126">
        <v>16000</v>
      </c>
      <c r="J36" s="127"/>
      <c r="K36" s="32"/>
      <c r="L36" s="44"/>
      <c r="M36" s="115"/>
    </row>
    <row r="37" spans="1:13" s="5" customFormat="1" ht="30" customHeight="1" x14ac:dyDescent="0.2">
      <c r="A37" s="4">
        <v>5022</v>
      </c>
      <c r="B37" s="124" t="s">
        <v>54</v>
      </c>
      <c r="C37" s="125"/>
      <c r="D37" s="127"/>
      <c r="E37" s="127">
        <v>2200</v>
      </c>
      <c r="F37" s="127"/>
      <c r="G37" s="131"/>
      <c r="H37" s="132"/>
      <c r="I37" s="127">
        <v>1500</v>
      </c>
      <c r="J37" s="127"/>
      <c r="K37" s="32"/>
      <c r="L37" s="44"/>
      <c r="M37" s="115"/>
    </row>
    <row r="38" spans="1:13" s="5" customFormat="1" ht="30" customHeight="1" x14ac:dyDescent="0.2">
      <c r="A38" s="4">
        <v>5023</v>
      </c>
      <c r="B38" s="124" t="s">
        <v>55</v>
      </c>
      <c r="C38" s="125"/>
      <c r="D38" s="127"/>
      <c r="E38" s="127">
        <v>2000</v>
      </c>
      <c r="F38" s="127"/>
      <c r="G38" s="131"/>
      <c r="H38" s="132"/>
      <c r="I38" s="127">
        <v>2000</v>
      </c>
      <c r="J38" s="127"/>
      <c r="K38" s="32"/>
      <c r="L38" s="44"/>
      <c r="M38" s="115"/>
    </row>
    <row r="39" spans="1:13" s="5" customFormat="1" ht="30" customHeight="1" x14ac:dyDescent="0.2">
      <c r="A39" s="4">
        <v>5024</v>
      </c>
      <c r="B39" s="124" t="s">
        <v>98</v>
      </c>
      <c r="C39" s="125"/>
      <c r="D39" s="127"/>
      <c r="E39" s="127">
        <v>0</v>
      </c>
      <c r="F39" s="127"/>
      <c r="G39" s="131"/>
      <c r="H39" s="132"/>
      <c r="I39" s="127">
        <v>2000</v>
      </c>
      <c r="J39" s="127"/>
      <c r="K39" s="32"/>
      <c r="L39" s="44"/>
      <c r="M39" s="115"/>
    </row>
    <row r="40" spans="1:13" s="5" customFormat="1" ht="30" customHeight="1" x14ac:dyDescent="0.2">
      <c r="A40" s="4">
        <v>5025</v>
      </c>
      <c r="B40" s="124" t="s">
        <v>99</v>
      </c>
      <c r="C40" s="125"/>
      <c r="D40" s="127"/>
      <c r="E40" s="127">
        <v>15000</v>
      </c>
      <c r="F40" s="127"/>
      <c r="G40" s="131"/>
      <c r="H40" s="132"/>
      <c r="I40" s="127">
        <v>10000</v>
      </c>
      <c r="J40" s="195"/>
      <c r="K40" s="32"/>
      <c r="L40" s="44"/>
      <c r="M40" s="115" t="s">
        <v>113</v>
      </c>
    </row>
    <row r="41" spans="1:13" s="5" customFormat="1" ht="30" customHeight="1" x14ac:dyDescent="0.2">
      <c r="A41" s="4">
        <v>5030</v>
      </c>
      <c r="B41" s="10" t="s">
        <v>115</v>
      </c>
      <c r="C41" s="2"/>
      <c r="D41" s="7">
        <v>250000</v>
      </c>
      <c r="E41" s="7">
        <f>SUM(E42:E48)</f>
        <v>129420</v>
      </c>
      <c r="F41" s="7">
        <f>SUM(E41-D41)</f>
        <v>-120580</v>
      </c>
      <c r="G41" s="32">
        <f>(E41-D41)/D41</f>
        <v>-0.48232000000000003</v>
      </c>
      <c r="H41" s="24"/>
      <c r="I41" s="7">
        <f>SUM(I42:I48)</f>
        <v>162000</v>
      </c>
      <c r="J41" s="196">
        <f>SUM(I41-D41)</f>
        <v>-88000</v>
      </c>
      <c r="K41" s="32">
        <f>(I41-D41)/D41</f>
        <v>-0.35199999999999998</v>
      </c>
      <c r="L41" s="44"/>
      <c r="M41" s="115"/>
    </row>
    <row r="42" spans="1:13" s="5" customFormat="1" ht="30" customHeight="1" x14ac:dyDescent="0.2">
      <c r="A42" s="5">
        <v>5031</v>
      </c>
      <c r="B42" s="124" t="s">
        <v>100</v>
      </c>
      <c r="C42" s="125"/>
      <c r="D42" s="127"/>
      <c r="E42" s="127">
        <v>7000</v>
      </c>
      <c r="F42" s="127"/>
      <c r="G42" s="131"/>
      <c r="H42" s="132"/>
      <c r="I42" s="127">
        <v>5000</v>
      </c>
      <c r="J42" s="127"/>
      <c r="K42" s="32"/>
      <c r="L42" s="44"/>
      <c r="M42" s="118"/>
    </row>
    <row r="43" spans="1:13" s="5" customFormat="1" ht="30" customHeight="1" x14ac:dyDescent="0.2">
      <c r="A43" s="5">
        <v>5034</v>
      </c>
      <c r="B43" s="124" t="s">
        <v>101</v>
      </c>
      <c r="C43" s="125"/>
      <c r="D43" s="127"/>
      <c r="E43" s="127">
        <v>70</v>
      </c>
      <c r="F43" s="127"/>
      <c r="G43" s="131"/>
      <c r="H43" s="132"/>
      <c r="I43" s="127">
        <v>0</v>
      </c>
      <c r="J43" s="127"/>
      <c r="K43" s="32"/>
      <c r="L43" s="44"/>
      <c r="M43" s="115"/>
    </row>
    <row r="44" spans="1:13" s="5" customFormat="1" ht="30" customHeight="1" x14ac:dyDescent="0.2">
      <c r="A44" s="5">
        <v>5035</v>
      </c>
      <c r="B44" s="124" t="s">
        <v>102</v>
      </c>
      <c r="C44" s="125"/>
      <c r="D44" s="127"/>
      <c r="E44" s="127">
        <v>2100</v>
      </c>
      <c r="F44" s="127"/>
      <c r="G44" s="131"/>
      <c r="H44" s="132"/>
      <c r="I44" s="127">
        <v>0</v>
      </c>
      <c r="J44" s="127"/>
      <c r="K44" s="32"/>
      <c r="L44" s="44"/>
      <c r="M44" s="118"/>
    </row>
    <row r="45" spans="1:13" s="5" customFormat="1" ht="30" customHeight="1" x14ac:dyDescent="0.2">
      <c r="A45" s="5">
        <v>5036</v>
      </c>
      <c r="B45" s="124" t="s">
        <v>103</v>
      </c>
      <c r="C45" s="125"/>
      <c r="D45" s="127"/>
      <c r="E45" s="127">
        <v>14000</v>
      </c>
      <c r="F45" s="127"/>
      <c r="G45" s="131"/>
      <c r="H45" s="132"/>
      <c r="I45" s="127">
        <v>40000</v>
      </c>
      <c r="J45" s="127"/>
      <c r="K45" s="32"/>
      <c r="L45" s="44"/>
      <c r="M45" s="115"/>
    </row>
    <row r="46" spans="1:13" s="5" customFormat="1" ht="30" customHeight="1" x14ac:dyDescent="0.2">
      <c r="A46" s="5">
        <v>5037</v>
      </c>
      <c r="B46" s="124" t="s">
        <v>104</v>
      </c>
      <c r="C46" s="125"/>
      <c r="D46" s="127"/>
      <c r="E46" s="127">
        <v>250</v>
      </c>
      <c r="F46" s="127"/>
      <c r="G46" s="131"/>
      <c r="H46" s="132"/>
      <c r="I46" s="127">
        <v>15000</v>
      </c>
      <c r="J46" s="127"/>
      <c r="K46" s="32"/>
      <c r="L46" s="44"/>
      <c r="M46" s="115"/>
    </row>
    <row r="47" spans="1:13" s="5" customFormat="1" ht="30" customHeight="1" x14ac:dyDescent="0.2">
      <c r="A47" s="5">
        <v>5038</v>
      </c>
      <c r="B47" s="124" t="s">
        <v>137</v>
      </c>
      <c r="C47" s="125"/>
      <c r="D47" s="127"/>
      <c r="E47" s="127">
        <v>19000</v>
      </c>
      <c r="F47" s="127"/>
      <c r="G47" s="131"/>
      <c r="H47" s="132"/>
      <c r="I47" s="127">
        <v>2000</v>
      </c>
      <c r="J47" s="127"/>
      <c r="K47" s="32"/>
      <c r="L47" s="44"/>
      <c r="M47" s="115"/>
    </row>
    <row r="48" spans="1:13" s="5" customFormat="1" ht="30" customHeight="1" x14ac:dyDescent="0.2">
      <c r="A48" s="5">
        <v>5039</v>
      </c>
      <c r="B48" s="124" t="s">
        <v>105</v>
      </c>
      <c r="C48" s="125"/>
      <c r="D48" s="127"/>
      <c r="E48" s="191">
        <f>SUM(37000+50000)</f>
        <v>87000</v>
      </c>
      <c r="F48" s="127"/>
      <c r="G48" s="131"/>
      <c r="H48" s="132"/>
      <c r="I48" s="127">
        <v>100000</v>
      </c>
      <c r="J48" s="127"/>
      <c r="K48" s="32"/>
      <c r="L48" s="44"/>
      <c r="M48" s="115" t="s">
        <v>120</v>
      </c>
    </row>
    <row r="49" spans="1:13" s="5" customFormat="1" ht="30" customHeight="1" x14ac:dyDescent="0.2">
      <c r="B49" s="124" t="s">
        <v>159</v>
      </c>
      <c r="C49" s="125"/>
      <c r="D49" s="127"/>
      <c r="E49" s="191">
        <v>7000</v>
      </c>
      <c r="F49" s="127"/>
      <c r="G49" s="131"/>
      <c r="H49" s="132"/>
      <c r="I49" s="127"/>
      <c r="J49" s="127"/>
      <c r="K49" s="32"/>
      <c r="L49" s="44"/>
      <c r="M49" s="115"/>
    </row>
    <row r="50" spans="1:13" s="5" customFormat="1" ht="30" customHeight="1" x14ac:dyDescent="0.2">
      <c r="A50" s="4">
        <v>5040</v>
      </c>
      <c r="B50" s="10" t="s">
        <v>34</v>
      </c>
      <c r="C50" s="2"/>
      <c r="D50" s="7">
        <v>16000</v>
      </c>
      <c r="E50" s="7">
        <v>14500</v>
      </c>
      <c r="F50" s="7">
        <f>SUM(E50-D50)</f>
        <v>-1500</v>
      </c>
      <c r="G50" s="32">
        <f>(E50-D50)/D50</f>
        <v>-9.375E-2</v>
      </c>
      <c r="H50" s="24"/>
      <c r="I50" s="7">
        <v>15000</v>
      </c>
      <c r="J50" s="7">
        <f>SUM(I50-D50)</f>
        <v>-1000</v>
      </c>
      <c r="K50" s="32">
        <f>(I50-D50)/D50</f>
        <v>-6.25E-2</v>
      </c>
      <c r="L50" s="44"/>
      <c r="M50" s="115"/>
    </row>
    <row r="51" spans="1:13" s="5" customFormat="1" ht="30" customHeight="1" x14ac:dyDescent="0.2">
      <c r="A51" s="4">
        <v>5051</v>
      </c>
      <c r="B51" s="10" t="s">
        <v>50</v>
      </c>
      <c r="C51" s="2"/>
      <c r="D51" s="7">
        <v>3300</v>
      </c>
      <c r="E51" s="7">
        <v>3300</v>
      </c>
      <c r="F51" s="7">
        <f t="shared" ref="F51:F52" si="7">SUM(E51-D51)</f>
        <v>0</v>
      </c>
      <c r="G51" s="32"/>
      <c r="H51" s="24"/>
      <c r="I51" s="197">
        <v>3000</v>
      </c>
      <c r="J51" s="7">
        <f>SUM(I51-D51)</f>
        <v>-300</v>
      </c>
      <c r="K51" s="32">
        <f>(I51-D51)/D51</f>
        <v>-9.0909090909090912E-2</v>
      </c>
      <c r="L51" s="44"/>
      <c r="M51" s="115" t="s">
        <v>121</v>
      </c>
    </row>
    <row r="52" spans="1:13" s="5" customFormat="1" ht="30" customHeight="1" thickBot="1" x14ac:dyDescent="0.25">
      <c r="A52" s="4">
        <v>5051</v>
      </c>
      <c r="B52" s="10" t="s">
        <v>51</v>
      </c>
      <c r="C52" s="2"/>
      <c r="D52" s="7">
        <v>100000</v>
      </c>
      <c r="E52" s="7">
        <v>100000</v>
      </c>
      <c r="F52" s="7">
        <f t="shared" si="7"/>
        <v>0</v>
      </c>
      <c r="G52" s="32">
        <f>(E52-D52)/D52</f>
        <v>0</v>
      </c>
      <c r="H52" s="24"/>
      <c r="I52" s="7">
        <v>0</v>
      </c>
      <c r="J52" s="7">
        <f>SUM(I52-D52)</f>
        <v>-100000</v>
      </c>
      <c r="K52" s="32">
        <f>(I52-D52)/D52</f>
        <v>-1</v>
      </c>
      <c r="L52" s="44"/>
      <c r="M52" s="115" t="s">
        <v>134</v>
      </c>
    </row>
    <row r="53" spans="1:13" s="5" customFormat="1" ht="39.950000000000003" customHeight="1" thickBot="1" x14ac:dyDescent="0.25">
      <c r="A53" s="4"/>
      <c r="B53" s="13" t="s">
        <v>122</v>
      </c>
      <c r="C53" s="9"/>
      <c r="D53" s="76">
        <f>SUM(D35+D41+D50+D51+D52)</f>
        <v>394300</v>
      </c>
      <c r="E53" s="192">
        <f>SUM(E35+E41+E50+E51+E52)</f>
        <v>281570</v>
      </c>
      <c r="F53" s="76">
        <f>SUM(E53-D53)</f>
        <v>-112730</v>
      </c>
      <c r="G53" s="35">
        <f>(E53-D53)/D53</f>
        <v>-0.28589906162820189</v>
      </c>
      <c r="H53" s="26"/>
      <c r="I53" s="192">
        <f>SUM(I35+I41+I50+I51+I52)</f>
        <v>211500</v>
      </c>
      <c r="J53" s="76">
        <f>SUM(I53-D53)</f>
        <v>-182800</v>
      </c>
      <c r="K53" s="37">
        <f>(I53-D53)/D53</f>
        <v>-0.46360639107278723</v>
      </c>
      <c r="L53" s="38"/>
      <c r="M53" s="115"/>
    </row>
    <row r="54" spans="1:13" ht="46.5" customHeight="1" thickBot="1" x14ac:dyDescent="0.35">
      <c r="M54" s="117"/>
    </row>
    <row r="55" spans="1:13" ht="20.100000000000001" customHeight="1" x14ac:dyDescent="0.3">
      <c r="B55" s="226" t="s">
        <v>35</v>
      </c>
      <c r="C55" s="6"/>
      <c r="D55" s="75" t="s">
        <v>21</v>
      </c>
      <c r="E55" s="75" t="s">
        <v>21</v>
      </c>
      <c r="F55" s="129" t="s">
        <v>139</v>
      </c>
      <c r="G55" s="31" t="s">
        <v>52</v>
      </c>
      <c r="H55" s="6"/>
      <c r="I55" s="75" t="s">
        <v>106</v>
      </c>
      <c r="J55" s="129" t="s">
        <v>59</v>
      </c>
      <c r="K55" s="75" t="s">
        <v>58</v>
      </c>
      <c r="L55" s="46"/>
      <c r="M55" s="222" t="s">
        <v>0</v>
      </c>
    </row>
    <row r="56" spans="1:13" ht="59.25" customHeight="1" thickBot="1" x14ac:dyDescent="0.35">
      <c r="B56" s="227"/>
      <c r="C56" s="1"/>
      <c r="D56" s="62" t="s">
        <v>91</v>
      </c>
      <c r="E56" s="95" t="s">
        <v>96</v>
      </c>
      <c r="F56" s="149" t="s">
        <v>140</v>
      </c>
      <c r="G56" s="42" t="s">
        <v>57</v>
      </c>
      <c r="H56" s="1"/>
      <c r="I56" s="62" t="s">
        <v>133</v>
      </c>
      <c r="J56" s="149" t="s">
        <v>136</v>
      </c>
      <c r="K56" s="100" t="s">
        <v>60</v>
      </c>
      <c r="L56" s="47"/>
      <c r="M56" s="222"/>
    </row>
    <row r="57" spans="1:13" s="5" customFormat="1" ht="30" customHeight="1" x14ac:dyDescent="0.2">
      <c r="A57" s="4">
        <v>5100</v>
      </c>
      <c r="B57" s="10" t="s">
        <v>47</v>
      </c>
      <c r="C57" s="2"/>
      <c r="D57" s="14">
        <f>SUM(D58:D63)</f>
        <v>42000</v>
      </c>
      <c r="E57" s="14">
        <f>SUM(E58:E63)</f>
        <v>27000</v>
      </c>
      <c r="F57" s="14">
        <f>SUM(E57-D57)</f>
        <v>-15000</v>
      </c>
      <c r="G57" s="41">
        <f>(E57-D57)/D57</f>
        <v>-0.35714285714285715</v>
      </c>
      <c r="H57" s="24"/>
      <c r="I57" s="14">
        <f>SUM(I58:I63)</f>
        <v>36000</v>
      </c>
      <c r="J57" s="14">
        <f>SUM(I57-D57)</f>
        <v>-6000</v>
      </c>
      <c r="K57" s="41">
        <f>(I57-D57)/D57</f>
        <v>-0.14285714285714285</v>
      </c>
      <c r="L57" s="44"/>
      <c r="M57" s="115" t="s">
        <v>123</v>
      </c>
    </row>
    <row r="58" spans="1:13" s="5" customFormat="1" ht="30" customHeight="1" x14ac:dyDescent="0.2">
      <c r="A58" s="27">
        <v>5101</v>
      </c>
      <c r="B58" s="124" t="s">
        <v>43</v>
      </c>
      <c r="C58" s="125"/>
      <c r="D58" s="127">
        <v>6000</v>
      </c>
      <c r="E58" s="127">
        <v>8000</v>
      </c>
      <c r="F58" s="126">
        <f>SUM(E58-D58)</f>
        <v>2000</v>
      </c>
      <c r="G58" s="131">
        <f t="shared" ref="G58:G59" si="8">(E58-D58)/D58</f>
        <v>0.33333333333333331</v>
      </c>
      <c r="H58" s="132"/>
      <c r="I58" s="127">
        <v>8000</v>
      </c>
      <c r="J58" s="126">
        <f t="shared" ref="J58:J63" si="9">SUM(I58-D58)</f>
        <v>2000</v>
      </c>
      <c r="K58" s="41">
        <f t="shared" ref="K58:K63" si="10">(I58-D58)/D58</f>
        <v>0.33333333333333331</v>
      </c>
      <c r="L58" s="45"/>
      <c r="M58" s="115"/>
    </row>
    <row r="59" spans="1:13" s="5" customFormat="1" ht="30" customHeight="1" x14ac:dyDescent="0.2">
      <c r="A59" s="27">
        <v>5102</v>
      </c>
      <c r="B59" s="124" t="s">
        <v>44</v>
      </c>
      <c r="C59" s="125"/>
      <c r="D59" s="127">
        <v>10000</v>
      </c>
      <c r="E59" s="127">
        <v>8000</v>
      </c>
      <c r="F59" s="126">
        <f t="shared" ref="F59:F63" si="11">SUM(E59-D59)</f>
        <v>-2000</v>
      </c>
      <c r="G59" s="131">
        <f t="shared" si="8"/>
        <v>-0.2</v>
      </c>
      <c r="H59" s="132"/>
      <c r="I59" s="127">
        <v>9000</v>
      </c>
      <c r="J59" s="126">
        <f t="shared" si="9"/>
        <v>-1000</v>
      </c>
      <c r="K59" s="41">
        <f t="shared" si="10"/>
        <v>-0.1</v>
      </c>
      <c r="L59" s="45"/>
      <c r="M59" s="115" t="s">
        <v>48</v>
      </c>
    </row>
    <row r="60" spans="1:13" s="5" customFormat="1" ht="30" customHeight="1" x14ac:dyDescent="0.2">
      <c r="A60" s="27">
        <v>5104</v>
      </c>
      <c r="B60" s="124" t="s">
        <v>141</v>
      </c>
      <c r="C60" s="125"/>
      <c r="D60" s="127">
        <v>0</v>
      </c>
      <c r="E60" s="127">
        <v>0</v>
      </c>
      <c r="F60" s="126">
        <f t="shared" si="11"/>
        <v>0</v>
      </c>
      <c r="G60" s="131"/>
      <c r="H60" s="132"/>
      <c r="I60" s="127">
        <v>5000</v>
      </c>
      <c r="J60" s="126">
        <f t="shared" ref="J60" si="12">SUM(I60-D60)</f>
        <v>5000</v>
      </c>
      <c r="K60" s="41"/>
      <c r="L60" s="45"/>
      <c r="M60" s="115"/>
    </row>
    <row r="61" spans="1:13" s="5" customFormat="1" ht="30" customHeight="1" x14ac:dyDescent="0.2">
      <c r="A61" s="27">
        <v>5105</v>
      </c>
      <c r="B61" s="124" t="s">
        <v>108</v>
      </c>
      <c r="C61" s="125"/>
      <c r="D61" s="127">
        <v>20000</v>
      </c>
      <c r="E61" s="127">
        <v>8000</v>
      </c>
      <c r="F61" s="126">
        <f t="shared" si="11"/>
        <v>-12000</v>
      </c>
      <c r="G61" s="131">
        <f>(E61-D61)/D61</f>
        <v>-0.6</v>
      </c>
      <c r="H61" s="132"/>
      <c r="I61" s="127">
        <v>10000</v>
      </c>
      <c r="J61" s="126">
        <f t="shared" si="9"/>
        <v>-10000</v>
      </c>
      <c r="K61" s="41">
        <f t="shared" si="10"/>
        <v>-0.5</v>
      </c>
      <c r="L61" s="45"/>
      <c r="M61" s="115"/>
    </row>
    <row r="62" spans="1:13" s="5" customFormat="1" ht="30" customHeight="1" x14ac:dyDescent="0.2">
      <c r="A62" s="27">
        <v>5109</v>
      </c>
      <c r="B62" s="124" t="s">
        <v>45</v>
      </c>
      <c r="C62" s="125"/>
      <c r="D62" s="127">
        <v>3000</v>
      </c>
      <c r="E62" s="127">
        <v>3000</v>
      </c>
      <c r="F62" s="126">
        <f t="shared" si="11"/>
        <v>0</v>
      </c>
      <c r="G62" s="131">
        <f t="shared" ref="G62:G63" si="13">(E62-D62)/D62</f>
        <v>0</v>
      </c>
      <c r="H62" s="132"/>
      <c r="I62" s="127">
        <v>2000</v>
      </c>
      <c r="J62" s="126">
        <f t="shared" si="9"/>
        <v>-1000</v>
      </c>
      <c r="K62" s="41">
        <f t="shared" si="10"/>
        <v>-0.33333333333333331</v>
      </c>
      <c r="L62" s="45"/>
      <c r="M62" s="115"/>
    </row>
    <row r="63" spans="1:13" s="5" customFormat="1" ht="30" customHeight="1" x14ac:dyDescent="0.2">
      <c r="A63" s="27">
        <v>5110</v>
      </c>
      <c r="B63" s="124" t="s">
        <v>49</v>
      </c>
      <c r="C63" s="125"/>
      <c r="D63" s="127">
        <v>3000</v>
      </c>
      <c r="E63" s="127">
        <v>0</v>
      </c>
      <c r="F63" s="126">
        <f t="shared" si="11"/>
        <v>-3000</v>
      </c>
      <c r="G63" s="131">
        <f t="shared" si="13"/>
        <v>-1</v>
      </c>
      <c r="H63" s="132"/>
      <c r="I63" s="127">
        <v>2000</v>
      </c>
      <c r="J63" s="126">
        <f t="shared" si="9"/>
        <v>-1000</v>
      </c>
      <c r="K63" s="41">
        <f t="shared" si="10"/>
        <v>-0.33333333333333331</v>
      </c>
      <c r="L63" s="45"/>
      <c r="M63" s="115"/>
    </row>
    <row r="64" spans="1:13" s="5" customFormat="1" ht="30" customHeight="1" x14ac:dyDescent="0.2">
      <c r="A64" s="4">
        <v>5120</v>
      </c>
      <c r="B64" s="10" t="s">
        <v>13</v>
      </c>
      <c r="C64" s="2"/>
      <c r="D64" s="7">
        <v>2000</v>
      </c>
      <c r="E64" s="7">
        <v>3200</v>
      </c>
      <c r="F64" s="7">
        <f>SUM(E64-D64)</f>
        <v>1200</v>
      </c>
      <c r="G64" s="32">
        <f t="shared" ref="G64:G72" si="14">(E64-D64)/D64</f>
        <v>0.6</v>
      </c>
      <c r="H64" s="24"/>
      <c r="I64" s="7">
        <v>2000</v>
      </c>
      <c r="J64" s="7">
        <f t="shared" ref="J64:J74" si="15">SUM(I64-D64)</f>
        <v>0</v>
      </c>
      <c r="K64" s="32">
        <f t="shared" ref="K64:K72" si="16">(I64-D64)/D64</f>
        <v>0</v>
      </c>
      <c r="L64" s="44"/>
      <c r="M64" s="115"/>
    </row>
    <row r="65" spans="1:14" s="5" customFormat="1" ht="30" customHeight="1" x14ac:dyDescent="0.2">
      <c r="A65" s="4">
        <v>5130</v>
      </c>
      <c r="B65" s="11" t="s">
        <v>80</v>
      </c>
      <c r="C65" s="2"/>
      <c r="D65" s="7">
        <v>7800</v>
      </c>
      <c r="E65" s="7">
        <v>6500</v>
      </c>
      <c r="F65" s="7">
        <f t="shared" ref="F65:F73" si="17">SUM(E65-D65)</f>
        <v>-1300</v>
      </c>
      <c r="G65" s="32">
        <f t="shared" si="14"/>
        <v>-0.16666666666666666</v>
      </c>
      <c r="H65" s="24"/>
      <c r="I65" s="7">
        <v>7000</v>
      </c>
      <c r="J65" s="7">
        <f t="shared" si="15"/>
        <v>-800</v>
      </c>
      <c r="K65" s="32">
        <f t="shared" si="16"/>
        <v>-0.10256410256410256</v>
      </c>
      <c r="L65" s="44"/>
      <c r="M65" s="119"/>
    </row>
    <row r="66" spans="1:14" s="5" customFormat="1" ht="30" customHeight="1" x14ac:dyDescent="0.2">
      <c r="A66" s="4">
        <v>5140</v>
      </c>
      <c r="B66" s="10" t="s">
        <v>63</v>
      </c>
      <c r="C66" s="2"/>
      <c r="D66" s="7">
        <v>2000</v>
      </c>
      <c r="E66" s="7">
        <v>1100</v>
      </c>
      <c r="F66" s="7">
        <f t="shared" si="17"/>
        <v>-900</v>
      </c>
      <c r="G66" s="32">
        <f t="shared" si="14"/>
        <v>-0.45</v>
      </c>
      <c r="H66" s="24"/>
      <c r="I66" s="7">
        <v>1100</v>
      </c>
      <c r="J66" s="7">
        <f t="shared" si="15"/>
        <v>-900</v>
      </c>
      <c r="K66" s="32">
        <f t="shared" si="16"/>
        <v>-0.45</v>
      </c>
      <c r="L66" s="44"/>
      <c r="M66" s="115"/>
    </row>
    <row r="67" spans="1:14" s="5" customFormat="1" ht="30" customHeight="1" x14ac:dyDescent="0.2">
      <c r="A67" s="4">
        <v>5150</v>
      </c>
      <c r="B67" s="10" t="s">
        <v>17</v>
      </c>
      <c r="C67" s="2"/>
      <c r="D67" s="7">
        <v>6000</v>
      </c>
      <c r="E67" s="7">
        <v>6000</v>
      </c>
      <c r="F67" s="7">
        <f t="shared" si="17"/>
        <v>0</v>
      </c>
      <c r="G67" s="32">
        <f t="shared" si="14"/>
        <v>0</v>
      </c>
      <c r="H67" s="24"/>
      <c r="I67" s="7">
        <v>6000</v>
      </c>
      <c r="J67" s="7">
        <f t="shared" si="15"/>
        <v>0</v>
      </c>
      <c r="K67" s="32">
        <f t="shared" si="16"/>
        <v>0</v>
      </c>
      <c r="L67" s="44"/>
      <c r="M67" s="115" t="s">
        <v>20</v>
      </c>
    </row>
    <row r="68" spans="1:14" s="5" customFormat="1" ht="30" customHeight="1" x14ac:dyDescent="0.2">
      <c r="A68" s="4">
        <v>5160</v>
      </c>
      <c r="B68" s="10" t="s">
        <v>5</v>
      </c>
      <c r="C68" s="2"/>
      <c r="D68" s="7">
        <v>7000</v>
      </c>
      <c r="E68" s="7">
        <v>5200</v>
      </c>
      <c r="F68" s="7">
        <f t="shared" si="17"/>
        <v>-1800</v>
      </c>
      <c r="G68" s="32">
        <f t="shared" si="14"/>
        <v>-0.25714285714285712</v>
      </c>
      <c r="H68" s="24"/>
      <c r="I68" s="7">
        <v>3000</v>
      </c>
      <c r="J68" s="7">
        <f t="shared" si="15"/>
        <v>-4000</v>
      </c>
      <c r="K68" s="32">
        <f t="shared" si="16"/>
        <v>-0.5714285714285714</v>
      </c>
      <c r="L68" s="44"/>
      <c r="M68" s="115"/>
    </row>
    <row r="69" spans="1:14" s="5" customFormat="1" ht="30" customHeight="1" x14ac:dyDescent="0.2">
      <c r="A69" s="4">
        <v>5161</v>
      </c>
      <c r="B69" s="10" t="s">
        <v>8</v>
      </c>
      <c r="C69" s="2"/>
      <c r="D69" s="7">
        <v>5000</v>
      </c>
      <c r="E69" s="7">
        <v>5000</v>
      </c>
      <c r="F69" s="7">
        <f t="shared" si="17"/>
        <v>0</v>
      </c>
      <c r="G69" s="32">
        <f t="shared" si="14"/>
        <v>0</v>
      </c>
      <c r="H69" s="24"/>
      <c r="I69" s="7">
        <v>5000</v>
      </c>
      <c r="J69" s="7">
        <f t="shared" si="15"/>
        <v>0</v>
      </c>
      <c r="K69" s="36">
        <f t="shared" si="16"/>
        <v>0</v>
      </c>
      <c r="L69" s="44"/>
      <c r="M69" s="120"/>
    </row>
    <row r="70" spans="1:14" s="5" customFormat="1" ht="30" customHeight="1" x14ac:dyDescent="0.2">
      <c r="A70" s="4">
        <v>5170</v>
      </c>
      <c r="B70" s="10" t="s">
        <v>36</v>
      </c>
      <c r="C70" s="2"/>
      <c r="D70" s="7">
        <v>6000</v>
      </c>
      <c r="E70" s="7">
        <v>6000</v>
      </c>
      <c r="F70" s="7">
        <f t="shared" si="17"/>
        <v>0</v>
      </c>
      <c r="G70" s="32">
        <f t="shared" si="14"/>
        <v>0</v>
      </c>
      <c r="H70" s="24"/>
      <c r="I70" s="7">
        <v>6000</v>
      </c>
      <c r="J70" s="7">
        <f t="shared" si="15"/>
        <v>0</v>
      </c>
      <c r="K70" s="32">
        <f t="shared" si="16"/>
        <v>0</v>
      </c>
      <c r="L70" s="44"/>
      <c r="M70" s="115"/>
    </row>
    <row r="71" spans="1:14" s="5" customFormat="1" ht="30" customHeight="1" x14ac:dyDescent="0.2">
      <c r="A71" s="4">
        <v>5180</v>
      </c>
      <c r="B71" s="10" t="s">
        <v>37</v>
      </c>
      <c r="C71" s="2"/>
      <c r="D71" s="7">
        <v>13500</v>
      </c>
      <c r="E71" s="7">
        <v>6000</v>
      </c>
      <c r="F71" s="7">
        <f t="shared" si="17"/>
        <v>-7500</v>
      </c>
      <c r="G71" s="32">
        <f t="shared" si="14"/>
        <v>-0.55555555555555558</v>
      </c>
      <c r="H71" s="24"/>
      <c r="I71" s="7">
        <v>13000</v>
      </c>
      <c r="J71" s="7">
        <f t="shared" si="15"/>
        <v>-500</v>
      </c>
      <c r="K71" s="32">
        <f t="shared" si="16"/>
        <v>-3.7037037037037035E-2</v>
      </c>
      <c r="L71" s="44"/>
      <c r="M71" s="115" t="s">
        <v>125</v>
      </c>
    </row>
    <row r="72" spans="1:14" s="5" customFormat="1" ht="30" customHeight="1" x14ac:dyDescent="0.2">
      <c r="A72" s="4">
        <v>5190</v>
      </c>
      <c r="B72" s="10" t="s">
        <v>38</v>
      </c>
      <c r="C72" s="2"/>
      <c r="D72" s="7">
        <v>1000</v>
      </c>
      <c r="E72" s="7">
        <v>1000</v>
      </c>
      <c r="F72" s="7">
        <f t="shared" si="17"/>
        <v>0</v>
      </c>
      <c r="G72" s="32">
        <f t="shared" si="14"/>
        <v>0</v>
      </c>
      <c r="H72" s="24"/>
      <c r="I72" s="7">
        <v>1000</v>
      </c>
      <c r="J72" s="7">
        <f t="shared" si="15"/>
        <v>0</v>
      </c>
      <c r="K72" s="32">
        <f t="shared" si="16"/>
        <v>0</v>
      </c>
      <c r="L72" s="44"/>
      <c r="M72" s="115" t="s">
        <v>124</v>
      </c>
    </row>
    <row r="73" spans="1:14" s="5" customFormat="1" ht="30" customHeight="1" thickBot="1" x14ac:dyDescent="0.25">
      <c r="A73" s="4">
        <v>5200</v>
      </c>
      <c r="B73" s="10" t="s">
        <v>4</v>
      </c>
      <c r="C73" s="2"/>
      <c r="D73" s="7">
        <v>0</v>
      </c>
      <c r="E73" s="7">
        <v>0</v>
      </c>
      <c r="F73" s="7">
        <f t="shared" si="17"/>
        <v>0</v>
      </c>
      <c r="G73" s="32"/>
      <c r="H73" s="24"/>
      <c r="I73" s="7">
        <v>300</v>
      </c>
      <c r="J73" s="7">
        <f t="shared" si="15"/>
        <v>300</v>
      </c>
      <c r="K73" s="101" t="s">
        <v>110</v>
      </c>
      <c r="L73" s="44"/>
      <c r="M73" s="115" t="s">
        <v>109</v>
      </c>
    </row>
    <row r="74" spans="1:14" s="5" customFormat="1" ht="57" customHeight="1" thickBot="1" x14ac:dyDescent="0.25">
      <c r="A74" s="4"/>
      <c r="B74" s="21" t="s">
        <v>39</v>
      </c>
      <c r="C74" s="9"/>
      <c r="D74" s="76">
        <f>SUM(D57+D64+D65+D66+D67+D68+D69+D70+D71+D72+D73)</f>
        <v>92300</v>
      </c>
      <c r="E74" s="76">
        <f>SUM(E57+E64+E65+E66+E67+E68+E69+E70+E71+E72+E73)</f>
        <v>67000</v>
      </c>
      <c r="F74" s="76">
        <f>SUM(E74-D74)</f>
        <v>-25300</v>
      </c>
      <c r="G74" s="35">
        <f>(E74-D74)/D74</f>
        <v>-0.27410617551462624</v>
      </c>
      <c r="H74" s="26"/>
      <c r="I74" s="76">
        <f>SUM(I57+I64+I65+I66+I67+I68+I69+I70+I71+I72+I73)</f>
        <v>80400</v>
      </c>
      <c r="J74" s="76">
        <f t="shared" si="15"/>
        <v>-11900</v>
      </c>
      <c r="K74" s="37">
        <f>(I74-D74)/D74</f>
        <v>-0.12892741061755147</v>
      </c>
      <c r="L74" s="38"/>
      <c r="M74" s="115"/>
    </row>
    <row r="75" spans="1:14" ht="19.5" thickBot="1" x14ac:dyDescent="0.35">
      <c r="M75" s="117"/>
    </row>
    <row r="76" spans="1:14" s="5" customFormat="1" ht="22.5" customHeight="1" thickBot="1" x14ac:dyDescent="0.25">
      <c r="A76" s="4"/>
      <c r="B76" s="61" t="s">
        <v>126</v>
      </c>
      <c r="C76" s="12"/>
      <c r="D76" s="16"/>
      <c r="E76" s="16"/>
      <c r="F76" s="16"/>
      <c r="G76" s="16"/>
      <c r="H76" s="12"/>
      <c r="I76" s="16"/>
      <c r="J76" s="16"/>
      <c r="K76" s="16"/>
      <c r="L76" s="16"/>
      <c r="M76" s="116"/>
    </row>
    <row r="77" spans="1:14" s="4" customFormat="1" ht="27.75" customHeight="1" x14ac:dyDescent="0.3">
      <c r="A77" s="135" t="s">
        <v>129</v>
      </c>
      <c r="B77" s="11" t="s">
        <v>127</v>
      </c>
      <c r="D77" s="16"/>
      <c r="E77" s="96">
        <v>46700</v>
      </c>
      <c r="F77" s="16"/>
      <c r="G77" s="34"/>
      <c r="H77" s="23"/>
      <c r="I77" s="16"/>
      <c r="J77" s="16"/>
      <c r="K77" s="16"/>
      <c r="L77" s="16"/>
      <c r="M77" s="117"/>
      <c r="N77" s="3"/>
    </row>
    <row r="78" spans="1:14" s="5" customFormat="1" ht="28.5" customHeight="1" thickBot="1" x14ac:dyDescent="0.35">
      <c r="A78" s="135" t="s">
        <v>130</v>
      </c>
      <c r="B78" s="11" t="s">
        <v>128</v>
      </c>
      <c r="C78" s="4"/>
      <c r="D78" s="16"/>
      <c r="E78" s="97">
        <v>30000</v>
      </c>
      <c r="F78" s="16"/>
      <c r="G78" s="34"/>
      <c r="H78" s="23"/>
      <c r="I78" s="16"/>
      <c r="J78" s="16"/>
      <c r="K78" s="16"/>
      <c r="L78" s="16"/>
      <c r="M78" s="115"/>
    </row>
    <row r="79" spans="1:14" s="5" customFormat="1" ht="22.5" customHeight="1" thickTop="1" thickBot="1" x14ac:dyDescent="0.35">
      <c r="A79" s="4"/>
      <c r="B79" s="19" t="s">
        <v>131</v>
      </c>
      <c r="C79" s="4"/>
      <c r="D79" s="16"/>
      <c r="E79" s="98">
        <f>SUM(E77:E78)</f>
        <v>76700</v>
      </c>
      <c r="F79" s="16"/>
      <c r="G79" s="34"/>
      <c r="H79" s="23"/>
      <c r="I79" s="16"/>
      <c r="J79" s="16"/>
      <c r="K79" s="16"/>
      <c r="L79" s="16"/>
      <c r="M79" s="117"/>
    </row>
    <row r="80" spans="1:14" ht="37.5" customHeight="1" thickBot="1" x14ac:dyDescent="0.35">
      <c r="E80" s="99"/>
      <c r="M80" s="117"/>
    </row>
    <row r="81" spans="1:14" ht="20.100000000000001" customHeight="1" x14ac:dyDescent="0.3">
      <c r="B81" s="226" t="s">
        <v>73</v>
      </c>
      <c r="C81" s="6"/>
      <c r="D81" s="75" t="s">
        <v>21</v>
      </c>
      <c r="E81" s="75" t="s">
        <v>21</v>
      </c>
      <c r="F81" s="129" t="s">
        <v>139</v>
      </c>
      <c r="G81" s="31" t="s">
        <v>52</v>
      </c>
      <c r="H81" s="6"/>
      <c r="I81" s="75" t="s">
        <v>106</v>
      </c>
      <c r="J81" s="129" t="s">
        <v>59</v>
      </c>
      <c r="K81" s="75" t="s">
        <v>58</v>
      </c>
      <c r="L81" s="46"/>
      <c r="M81" s="222" t="s">
        <v>0</v>
      </c>
    </row>
    <row r="82" spans="1:14" ht="59.25" customHeight="1" thickBot="1" x14ac:dyDescent="0.35">
      <c r="B82" s="227"/>
      <c r="C82" s="1"/>
      <c r="D82" s="62" t="s">
        <v>91</v>
      </c>
      <c r="E82" s="95" t="s">
        <v>96</v>
      </c>
      <c r="F82" s="149" t="s">
        <v>140</v>
      </c>
      <c r="G82" s="42" t="s">
        <v>57</v>
      </c>
      <c r="H82" s="1"/>
      <c r="I82" s="62" t="s">
        <v>133</v>
      </c>
      <c r="J82" s="149" t="s">
        <v>136</v>
      </c>
      <c r="K82" s="100" t="s">
        <v>60</v>
      </c>
      <c r="L82" s="47"/>
      <c r="M82" s="222"/>
    </row>
    <row r="83" spans="1:14" s="5" customFormat="1" ht="36" customHeight="1" thickBot="1" x14ac:dyDescent="0.35">
      <c r="A83" s="4"/>
      <c r="B83" s="139" t="s">
        <v>33</v>
      </c>
      <c r="C83" s="9"/>
      <c r="D83" s="141">
        <f>SUM(D31)</f>
        <v>272100</v>
      </c>
      <c r="E83" s="142">
        <f>SUM(E31)</f>
        <v>178660</v>
      </c>
      <c r="F83" s="171">
        <f>SUM(E83-D83)</f>
        <v>-93440</v>
      </c>
      <c r="G83" s="172">
        <f>(E83-D83)/D83</f>
        <v>-0.34340316060271958</v>
      </c>
      <c r="H83" s="3"/>
      <c r="I83" s="141">
        <f>SUM(I31)</f>
        <v>199400</v>
      </c>
      <c r="J83" s="177">
        <f>SUM(I83-D83)</f>
        <v>-72700</v>
      </c>
      <c r="K83" s="172">
        <f>(I83-D83)/D83</f>
        <v>-0.26718118338846014</v>
      </c>
      <c r="L83" s="38"/>
      <c r="M83" s="115"/>
    </row>
    <row r="84" spans="1:14" s="5" customFormat="1" ht="36" customHeight="1" thickBot="1" x14ac:dyDescent="0.35">
      <c r="A84" s="4"/>
      <c r="B84" s="139" t="s">
        <v>122</v>
      </c>
      <c r="C84" s="9"/>
      <c r="D84" s="143">
        <f>SUM(D53)</f>
        <v>394300</v>
      </c>
      <c r="E84" s="194">
        <f>SUM(E53)</f>
        <v>281570</v>
      </c>
      <c r="F84" s="173">
        <f t="shared" ref="F84:F86" si="18">SUM(E84-D84)</f>
        <v>-112730</v>
      </c>
      <c r="G84" s="174">
        <f>(E84-D84)/D84</f>
        <v>-0.28589906162820189</v>
      </c>
      <c r="H84" s="3"/>
      <c r="I84" s="198">
        <f>SUM(I53)</f>
        <v>211500</v>
      </c>
      <c r="J84" s="118">
        <f>SUM(I84-D84)</f>
        <v>-182800</v>
      </c>
      <c r="K84" s="180">
        <f>(I84-D84)/D84</f>
        <v>-0.46360639107278723</v>
      </c>
      <c r="L84" s="38"/>
      <c r="M84" s="115"/>
    </row>
    <row r="85" spans="1:14" s="5" customFormat="1" ht="36" customHeight="1" thickBot="1" x14ac:dyDescent="0.35">
      <c r="A85" s="4"/>
      <c r="B85" s="140" t="s">
        <v>39</v>
      </c>
      <c r="C85" s="9"/>
      <c r="D85" s="143">
        <f>SUM(D74)</f>
        <v>92300</v>
      </c>
      <c r="E85" s="144">
        <f>SUM(E74)</f>
        <v>67000</v>
      </c>
      <c r="F85" s="173">
        <f t="shared" si="18"/>
        <v>-25300</v>
      </c>
      <c r="G85" s="174">
        <f>(E85-D85)/D85</f>
        <v>-0.27410617551462624</v>
      </c>
      <c r="H85" s="3"/>
      <c r="I85" s="143">
        <f>SUM(I74)</f>
        <v>80400</v>
      </c>
      <c r="J85" s="118">
        <f>SUM(I85-D85)</f>
        <v>-11900</v>
      </c>
      <c r="K85" s="180">
        <f>(I85-D85)/D85</f>
        <v>-0.12892741061755147</v>
      </c>
      <c r="L85" s="38"/>
      <c r="M85" s="115"/>
    </row>
    <row r="86" spans="1:14" s="5" customFormat="1" ht="36" customHeight="1" thickBot="1" x14ac:dyDescent="0.35">
      <c r="A86" s="4"/>
      <c r="B86" s="140" t="s">
        <v>131</v>
      </c>
      <c r="C86" s="9"/>
      <c r="D86" s="155">
        <v>0</v>
      </c>
      <c r="E86" s="156">
        <f>SUM(E79)</f>
        <v>76700</v>
      </c>
      <c r="F86" s="175">
        <f t="shared" si="18"/>
        <v>76700</v>
      </c>
      <c r="G86" s="199"/>
      <c r="H86" s="3"/>
      <c r="I86" s="155">
        <f>SUM(I75)</f>
        <v>0</v>
      </c>
      <c r="J86" s="178">
        <f>SUM(I86-D86)</f>
        <v>0</v>
      </c>
      <c r="K86" s="179"/>
      <c r="L86" s="38"/>
      <c r="M86" s="115"/>
    </row>
    <row r="87" spans="1:14" s="5" customFormat="1" ht="36" customHeight="1" thickBot="1" x14ac:dyDescent="0.35">
      <c r="A87" s="4"/>
      <c r="B87" s="17" t="s">
        <v>73</v>
      </c>
      <c r="C87" s="18"/>
      <c r="D87" s="76">
        <f>SUM(D83+D84+D85+D86)</f>
        <v>758700</v>
      </c>
      <c r="E87" s="192">
        <f>SUM(E83+E84+E85+E86)</f>
        <v>603930</v>
      </c>
      <c r="F87" s="28">
        <f>SUM(E87-D87)</f>
        <v>-154770</v>
      </c>
      <c r="G87" s="35">
        <f>(E87-D87)/D87</f>
        <v>-0.20399367338869118</v>
      </c>
      <c r="H87" s="3"/>
      <c r="I87" s="76">
        <f>SUM(I83+I84+I85+I86)</f>
        <v>491300</v>
      </c>
      <c r="J87" s="28">
        <f>SUM(I87-D87)</f>
        <v>-267400</v>
      </c>
      <c r="K87" s="37">
        <f>(I87-D87)/D87</f>
        <v>-0.35244497166205352</v>
      </c>
      <c r="L87" s="38"/>
      <c r="M87" s="117"/>
    </row>
    <row r="88" spans="1:14" ht="20.25" customHeight="1" thickBot="1" x14ac:dyDescent="0.35">
      <c r="E88" s="99"/>
      <c r="M88" s="117"/>
    </row>
    <row r="89" spans="1:14" ht="20.100000000000001" customHeight="1" x14ac:dyDescent="0.3">
      <c r="B89" s="226" t="s">
        <v>132</v>
      </c>
      <c r="C89" s="6"/>
      <c r="D89" s="75" t="s">
        <v>21</v>
      </c>
      <c r="E89" s="75" t="s">
        <v>21</v>
      </c>
      <c r="F89" s="129" t="s">
        <v>139</v>
      </c>
      <c r="G89" s="31" t="s">
        <v>52</v>
      </c>
      <c r="H89" s="6"/>
      <c r="I89" s="75" t="s">
        <v>106</v>
      </c>
      <c r="J89" s="129" t="s">
        <v>59</v>
      </c>
      <c r="K89" s="75" t="s">
        <v>58</v>
      </c>
      <c r="L89" s="46"/>
      <c r="M89" s="121"/>
    </row>
    <row r="90" spans="1:14" ht="59.25" customHeight="1" thickBot="1" x14ac:dyDescent="0.35">
      <c r="B90" s="227"/>
      <c r="C90" s="1"/>
      <c r="D90" s="62" t="s">
        <v>91</v>
      </c>
      <c r="E90" s="95" t="s">
        <v>96</v>
      </c>
      <c r="F90" s="149" t="s">
        <v>140</v>
      </c>
      <c r="G90" s="42" t="s">
        <v>57</v>
      </c>
      <c r="H90" s="1"/>
      <c r="I90" s="62" t="s">
        <v>133</v>
      </c>
      <c r="J90" s="149" t="s">
        <v>136</v>
      </c>
      <c r="K90" s="100" t="s">
        <v>60</v>
      </c>
      <c r="L90" s="47"/>
      <c r="M90" s="122"/>
    </row>
    <row r="91" spans="1:14" s="5" customFormat="1" ht="30" customHeight="1" thickBot="1" x14ac:dyDescent="0.25">
      <c r="A91" s="4"/>
      <c r="B91" s="136" t="s">
        <v>3</v>
      </c>
      <c r="C91" s="9"/>
      <c r="D91" s="137">
        <f>SUM(D16)</f>
        <v>567906.19999999995</v>
      </c>
      <c r="E91" s="203">
        <f>SUM(E16)</f>
        <v>679281</v>
      </c>
      <c r="F91" s="26">
        <f>SUM(E91-D91)</f>
        <v>111374.80000000005</v>
      </c>
      <c r="G91" s="200">
        <f>(E91-D91)/D91</f>
        <v>0.19611478092685034</v>
      </c>
      <c r="H91" s="9"/>
      <c r="I91" s="201">
        <f>SUM(I16)</f>
        <v>537376.14999999991</v>
      </c>
      <c r="J91" s="138">
        <f>SUM(I91-D91)</f>
        <v>-30530.050000000047</v>
      </c>
      <c r="K91" s="147">
        <f>(I91-D91)/D91</f>
        <v>-5.375896582921625E-2</v>
      </c>
      <c r="L91" s="44"/>
      <c r="M91" s="153"/>
    </row>
    <row r="92" spans="1:14" s="4" customFormat="1" ht="30" customHeight="1" thickBot="1" x14ac:dyDescent="0.25">
      <c r="B92" s="136" t="s">
        <v>138</v>
      </c>
      <c r="C92" s="9"/>
      <c r="D92" s="145">
        <f>SUM(D87)</f>
        <v>758700</v>
      </c>
      <c r="E92" s="202">
        <f>SUM(E87)</f>
        <v>603930</v>
      </c>
      <c r="F92" s="76">
        <f>SUM(E92-D92)</f>
        <v>-154770</v>
      </c>
      <c r="G92" s="37">
        <f>(E92-D92)/D92</f>
        <v>-0.20399367338869118</v>
      </c>
      <c r="H92" s="9"/>
      <c r="I92" s="202">
        <f>SUM(I87)</f>
        <v>491300</v>
      </c>
      <c r="J92" s="145">
        <f>SUM(I92-D92)</f>
        <v>-267400</v>
      </c>
      <c r="K92" s="181">
        <f>(I92-D92)/D92</f>
        <v>-0.35244497166205352</v>
      </c>
      <c r="L92" s="44"/>
      <c r="M92" s="153"/>
    </row>
    <row r="93" spans="1:14" ht="29.25" customHeight="1" thickTop="1" thickBot="1" x14ac:dyDescent="0.35">
      <c r="B93" s="136" t="s">
        <v>95</v>
      </c>
      <c r="C93" s="9"/>
      <c r="D93" s="146">
        <f>SUM(D91-D92)</f>
        <v>-190793.80000000005</v>
      </c>
      <c r="E93" s="193">
        <f t="shared" ref="E93" si="19">SUM(E91-E92)</f>
        <v>75351</v>
      </c>
      <c r="F93" s="4"/>
      <c r="G93" s="4"/>
      <c r="H93" s="4"/>
      <c r="I93" s="193">
        <f>SUM(I91-I92)</f>
        <v>46076.149999999907</v>
      </c>
      <c r="J93" s="28">
        <f>SUM(I93-D93)</f>
        <v>236869.94999999995</v>
      </c>
      <c r="K93" s="38"/>
      <c r="L93" s="38"/>
      <c r="M93" s="154"/>
    </row>
    <row r="94" spans="1:14" ht="21" customHeight="1" x14ac:dyDescent="0.3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24" hidden="1" thickBot="1" x14ac:dyDescent="0.35">
      <c r="B95" s="148" t="s">
        <v>135</v>
      </c>
      <c r="C95" s="1"/>
      <c r="D95" s="12"/>
      <c r="E95" s="12"/>
      <c r="F95" s="12"/>
      <c r="G95" s="12"/>
      <c r="H95" s="12"/>
      <c r="I95" s="12"/>
      <c r="J95" s="12"/>
      <c r="K95" s="12"/>
      <c r="L95" s="47"/>
      <c r="M95" s="166"/>
    </row>
    <row r="96" spans="1:14" ht="24" hidden="1" thickBot="1" x14ac:dyDescent="0.35">
      <c r="B96" s="136" t="s">
        <v>93</v>
      </c>
      <c r="C96" s="1"/>
      <c r="D96" s="150">
        <v>100000</v>
      </c>
      <c r="E96" s="151"/>
      <c r="F96" s="138" t="e">
        <f>SUM(E96-#REF!)</f>
        <v>#REF!</v>
      </c>
      <c r="G96" s="152"/>
      <c r="H96" s="1"/>
      <c r="I96" s="167">
        <v>0</v>
      </c>
      <c r="J96" s="138">
        <f>SUM(I96-D96)</f>
        <v>-100000</v>
      </c>
      <c r="K96" s="150" t="s">
        <v>68</v>
      </c>
      <c r="L96" s="47"/>
      <c r="M96" s="112"/>
    </row>
    <row r="97" spans="1:14" ht="24.75" hidden="1" customHeight="1" thickBot="1" x14ac:dyDescent="0.35">
      <c r="B97" s="136" t="s">
        <v>94</v>
      </c>
      <c r="C97" s="1"/>
      <c r="D97" s="150">
        <v>100000</v>
      </c>
      <c r="E97" s="151"/>
      <c r="F97" s="138" t="e">
        <f>SUM(E97-#REF!)</f>
        <v>#REF!</v>
      </c>
      <c r="G97" s="152"/>
      <c r="H97" s="1"/>
      <c r="I97" s="167">
        <v>0</v>
      </c>
      <c r="J97" s="138">
        <f>SUM(I97-D97)</f>
        <v>-100000</v>
      </c>
      <c r="K97" s="150" t="s">
        <v>68</v>
      </c>
      <c r="L97" s="47"/>
      <c r="M97" s="112"/>
    </row>
    <row r="98" spans="1:14" ht="29.25" hidden="1" customHeight="1" thickTop="1" thickBot="1" x14ac:dyDescent="0.35">
      <c r="B98" s="136" t="s">
        <v>95</v>
      </c>
      <c r="C98" s="9"/>
      <c r="D98" s="146">
        <f>SUM(D93+D96+D97)</f>
        <v>9206.1999999999534</v>
      </c>
      <c r="E98" s="146">
        <f t="shared" ref="E98" si="20">SUM(E96-E97)</f>
        <v>0</v>
      </c>
      <c r="F98" s="12"/>
      <c r="G98" s="147">
        <f>(E98-D98)/D98</f>
        <v>-1</v>
      </c>
      <c r="H98" s="9"/>
      <c r="I98" s="146">
        <f>SUM(I96-I97)</f>
        <v>0</v>
      </c>
      <c r="J98" s="12"/>
      <c r="K98" s="38"/>
      <c r="L98" s="38"/>
      <c r="M98" s="117"/>
    </row>
    <row r="99" spans="1:14" ht="27" customHeight="1" x14ac:dyDescent="0.3"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ht="20.100000000000001" hidden="1" customHeight="1" x14ac:dyDescent="0.3">
      <c r="A100" s="102"/>
      <c r="B100" s="220" t="s">
        <v>89</v>
      </c>
      <c r="C100" s="78"/>
      <c r="D100" s="64" t="s">
        <v>21</v>
      </c>
      <c r="E100" s="64" t="s">
        <v>21</v>
      </c>
      <c r="F100" s="157" t="s">
        <v>139</v>
      </c>
      <c r="G100" s="77" t="s">
        <v>52</v>
      </c>
      <c r="H100" s="78"/>
      <c r="I100" s="64" t="s">
        <v>106</v>
      </c>
      <c r="J100" s="157" t="s">
        <v>59</v>
      </c>
      <c r="K100" s="64" t="s">
        <v>58</v>
      </c>
      <c r="L100" s="158"/>
      <c r="M100" s="159"/>
    </row>
    <row r="101" spans="1:14" ht="75.75" hidden="1" thickBot="1" x14ac:dyDescent="0.35">
      <c r="A101" s="102"/>
      <c r="B101" s="221"/>
      <c r="C101" s="80"/>
      <c r="D101" s="65" t="s">
        <v>92</v>
      </c>
      <c r="E101" s="94" t="s">
        <v>96</v>
      </c>
      <c r="F101" s="160" t="s">
        <v>140</v>
      </c>
      <c r="G101" s="79" t="s">
        <v>57</v>
      </c>
      <c r="H101" s="80"/>
      <c r="I101" s="65" t="s">
        <v>133</v>
      </c>
      <c r="J101" s="160" t="s">
        <v>136</v>
      </c>
      <c r="K101" s="66" t="s">
        <v>61</v>
      </c>
      <c r="L101" s="161"/>
      <c r="M101" s="159"/>
    </row>
    <row r="102" spans="1:14" ht="57.75" hidden="1" customHeight="1" x14ac:dyDescent="0.3">
      <c r="A102" s="102"/>
      <c r="B102" s="103" t="s">
        <v>10</v>
      </c>
      <c r="C102" s="104"/>
      <c r="D102" s="67"/>
      <c r="E102" s="81"/>
      <c r="F102" s="67">
        <f>SUM(E102-D102)</f>
        <v>0</v>
      </c>
      <c r="G102" s="82" t="e">
        <f t="shared" ref="G102:G107" si="21">(E102-D102)/D102</f>
        <v>#DIV/0!</v>
      </c>
      <c r="H102" s="83"/>
      <c r="I102" s="67"/>
      <c r="J102" s="67">
        <f t="shared" ref="J102:J107" si="22">SUM(I102-D102)</f>
        <v>0</v>
      </c>
      <c r="K102" s="82" t="e">
        <f t="shared" ref="K102:K107" si="23">(I102-D102)/D102</f>
        <v>#DIV/0!</v>
      </c>
      <c r="L102" s="130"/>
      <c r="M102" s="162" t="s">
        <v>62</v>
      </c>
      <c r="N102" s="8"/>
    </row>
    <row r="103" spans="1:14" ht="57.75" hidden="1" customHeight="1" x14ac:dyDescent="0.3">
      <c r="A103" s="102"/>
      <c r="B103" s="103" t="s">
        <v>11</v>
      </c>
      <c r="C103" s="104"/>
      <c r="D103" s="68"/>
      <c r="E103" s="84"/>
      <c r="F103" s="67">
        <f t="shared" ref="F103:F106" si="24">SUM(E103-D103)</f>
        <v>0</v>
      </c>
      <c r="G103" s="85" t="e">
        <f t="shared" si="21"/>
        <v>#DIV/0!</v>
      </c>
      <c r="H103" s="83"/>
      <c r="I103" s="68"/>
      <c r="J103" s="68">
        <f t="shared" si="22"/>
        <v>0</v>
      </c>
      <c r="K103" s="85" t="e">
        <f t="shared" si="23"/>
        <v>#DIV/0!</v>
      </c>
      <c r="L103" s="130"/>
      <c r="M103" s="163"/>
    </row>
    <row r="104" spans="1:14" ht="57.75" hidden="1" customHeight="1" x14ac:dyDescent="0.3">
      <c r="A104" s="102"/>
      <c r="B104" s="103" t="s">
        <v>12</v>
      </c>
      <c r="C104" s="104"/>
      <c r="D104" s="68"/>
      <c r="E104" s="84"/>
      <c r="F104" s="67">
        <f t="shared" si="24"/>
        <v>0</v>
      </c>
      <c r="G104" s="85" t="e">
        <f t="shared" si="21"/>
        <v>#DIV/0!</v>
      </c>
      <c r="H104" s="83"/>
      <c r="I104" s="68"/>
      <c r="J104" s="68">
        <f t="shared" si="22"/>
        <v>0</v>
      </c>
      <c r="K104" s="85" t="e">
        <f t="shared" si="23"/>
        <v>#DIV/0!</v>
      </c>
      <c r="L104" s="130"/>
      <c r="M104" s="163"/>
    </row>
    <row r="105" spans="1:14" ht="57.75" hidden="1" customHeight="1" thickBot="1" x14ac:dyDescent="0.35">
      <c r="A105" s="102"/>
      <c r="B105" s="103" t="s">
        <v>16</v>
      </c>
      <c r="C105" s="104"/>
      <c r="D105" s="69"/>
      <c r="E105" s="84"/>
      <c r="F105" s="67">
        <f t="shared" si="24"/>
        <v>0</v>
      </c>
      <c r="G105" s="85" t="e">
        <f t="shared" si="21"/>
        <v>#DIV/0!</v>
      </c>
      <c r="H105" s="83"/>
      <c r="I105" s="69"/>
      <c r="J105" s="68">
        <f t="shared" si="22"/>
        <v>0</v>
      </c>
      <c r="K105" s="85" t="e">
        <f t="shared" si="23"/>
        <v>#DIV/0!</v>
      </c>
      <c r="L105" s="130"/>
      <c r="M105" s="164"/>
    </row>
    <row r="106" spans="1:14" ht="57.75" hidden="1" customHeight="1" thickBot="1" x14ac:dyDescent="0.35">
      <c r="A106" s="102"/>
      <c r="B106" s="105" t="s">
        <v>53</v>
      </c>
      <c r="C106" s="106"/>
      <c r="D106" s="70"/>
      <c r="E106" s="84"/>
      <c r="F106" s="67">
        <f t="shared" si="24"/>
        <v>0</v>
      </c>
      <c r="G106" s="86" t="e">
        <f t="shared" si="21"/>
        <v>#DIV/0!</v>
      </c>
      <c r="H106" s="87"/>
      <c r="I106" s="70"/>
      <c r="J106" s="88">
        <f t="shared" si="22"/>
        <v>0</v>
      </c>
      <c r="K106" s="86" t="e">
        <f t="shared" si="23"/>
        <v>#DIV/0!</v>
      </c>
      <c r="L106" s="130"/>
      <c r="M106" s="165"/>
    </row>
    <row r="107" spans="1:14" ht="39.950000000000003" hidden="1" customHeight="1" thickBot="1" x14ac:dyDescent="0.35">
      <c r="A107" s="102"/>
      <c r="B107" s="107" t="s">
        <v>86</v>
      </c>
      <c r="C107" s="108"/>
      <c r="D107" s="71"/>
      <c r="E107" s="89">
        <f>SUM(E102:E105)</f>
        <v>0</v>
      </c>
      <c r="F107" s="92">
        <f>SUM(E107-D107)</f>
        <v>0</v>
      </c>
      <c r="G107" s="90" t="e">
        <f t="shared" si="21"/>
        <v>#DIV/0!</v>
      </c>
      <c r="H107" s="91"/>
      <c r="I107" s="71"/>
      <c r="J107" s="92">
        <f t="shared" si="22"/>
        <v>0</v>
      </c>
      <c r="K107" s="90" t="e">
        <f t="shared" si="23"/>
        <v>#DIV/0!</v>
      </c>
      <c r="L107" s="72"/>
      <c r="M107" s="165"/>
    </row>
    <row r="108" spans="1:14" ht="39.950000000000003" hidden="1" customHeight="1" thickBot="1" x14ac:dyDescent="0.35">
      <c r="A108" s="102"/>
      <c r="B108" s="109"/>
      <c r="C108" s="108"/>
      <c r="D108" s="72"/>
      <c r="E108" s="91"/>
      <c r="F108" s="72"/>
      <c r="G108" s="72"/>
      <c r="H108" s="72"/>
      <c r="I108" s="72"/>
      <c r="J108" s="72"/>
      <c r="K108" s="72"/>
      <c r="L108" s="72"/>
      <c r="M108" s="165"/>
    </row>
    <row r="109" spans="1:14" ht="39.950000000000003" hidden="1" customHeight="1" thickBot="1" x14ac:dyDescent="0.35">
      <c r="A109" s="102"/>
      <c r="B109" s="110" t="s">
        <v>87</v>
      </c>
      <c r="C109" s="108"/>
      <c r="D109" s="72"/>
      <c r="E109" s="91"/>
      <c r="F109" s="72"/>
      <c r="G109" s="72"/>
      <c r="H109" s="72"/>
      <c r="I109" s="72"/>
      <c r="J109" s="72"/>
      <c r="K109" s="72"/>
      <c r="L109" s="72"/>
      <c r="M109" s="165"/>
    </row>
    <row r="110" spans="1:14" ht="57.75" hidden="1" customHeight="1" thickBot="1" x14ac:dyDescent="0.35">
      <c r="A110" s="102"/>
      <c r="B110" s="111" t="s">
        <v>90</v>
      </c>
      <c r="C110" s="104"/>
      <c r="D110" s="73"/>
      <c r="E110" s="74"/>
      <c r="F110" s="74"/>
      <c r="G110" s="74"/>
      <c r="H110" s="93"/>
      <c r="I110" s="73"/>
      <c r="J110" s="74"/>
      <c r="K110" s="74"/>
      <c r="L110" s="74"/>
      <c r="M110" s="162"/>
      <c r="N110" s="8"/>
    </row>
    <row r="111" spans="1:14" ht="57.75" hidden="1" customHeight="1" thickBot="1" x14ac:dyDescent="0.35">
      <c r="A111" s="102"/>
      <c r="B111" s="111" t="s">
        <v>88</v>
      </c>
      <c r="C111" s="104"/>
      <c r="D111" s="73"/>
      <c r="E111" s="74"/>
      <c r="F111" s="74"/>
      <c r="G111" s="74"/>
      <c r="H111" s="93"/>
      <c r="I111" s="73"/>
      <c r="J111" s="74"/>
      <c r="K111" s="74"/>
      <c r="L111" s="74"/>
      <c r="M111" s="162"/>
      <c r="N111" s="8"/>
    </row>
    <row r="112" spans="1:14" ht="39.950000000000003" hidden="1" customHeight="1" thickBot="1" x14ac:dyDescent="0.35">
      <c r="A112" s="102"/>
      <c r="B112" s="107" t="s">
        <v>85</v>
      </c>
      <c r="C112" s="108"/>
      <c r="D112" s="71">
        <f>SUM(D107+D110)</f>
        <v>0</v>
      </c>
      <c r="E112" s="74"/>
      <c r="F112" s="72"/>
      <c r="G112" s="74"/>
      <c r="H112" s="91"/>
      <c r="I112" s="71">
        <f>SUM(I107+I110)</f>
        <v>0</v>
      </c>
      <c r="J112" s="72"/>
      <c r="K112" s="72"/>
      <c r="L112" s="72"/>
      <c r="M112" s="165"/>
    </row>
    <row r="113" spans="4:13" ht="22.5" hidden="1" customHeight="1" x14ac:dyDescent="0.3">
      <c r="M113" s="43"/>
    </row>
    <row r="114" spans="4:13" x14ac:dyDescent="0.3">
      <c r="D114" s="23"/>
      <c r="F114" s="23"/>
      <c r="H114" s="23"/>
      <c r="I114" s="23"/>
      <c r="J114" s="23"/>
      <c r="K114" s="23"/>
      <c r="L114" s="23"/>
      <c r="M114" s="43"/>
    </row>
  </sheetData>
  <sortState xmlns:xlrd2="http://schemas.microsoft.com/office/spreadsheetml/2017/richdata2" ref="A4:AH7">
    <sortCondition ref="A4:A7"/>
  </sortState>
  <mergeCells count="13">
    <mergeCell ref="B100:B101"/>
    <mergeCell ref="M2:M3"/>
    <mergeCell ref="M33:M34"/>
    <mergeCell ref="A2:A3"/>
    <mergeCell ref="B2:B3"/>
    <mergeCell ref="B33:B34"/>
    <mergeCell ref="M18:M19"/>
    <mergeCell ref="B55:B56"/>
    <mergeCell ref="B18:B19"/>
    <mergeCell ref="M55:M56"/>
    <mergeCell ref="B89:B90"/>
    <mergeCell ref="B81:B82"/>
    <mergeCell ref="M81:M82"/>
  </mergeCells>
  <phoneticPr fontId="14" type="noConversion"/>
  <pageMargins left="0.7" right="0.7" top="0.75" bottom="0.75" header="0.3" footer="0.3"/>
  <pageSetup scale="70" fitToHeight="3" orientation="portrait" r:id="rId1"/>
  <headerFooter>
    <oddHeader>&amp;C&amp;"Garamond,Bold"&amp;16Mendocino County Russian River Flood Control
&amp; Water Conservation Improvement District &amp;"Garamond,Regular"&amp;14
FY 2024-2025 Proposed Budget Worksheet 
(changes from May 13, 2024 shown in red)</oddHeader>
  </headerFooter>
  <rowBreaks count="4" manualBreakCount="4">
    <brk id="31" max="10" man="1"/>
    <brk id="53" max="10" man="1"/>
    <brk id="79" max="10" man="1"/>
    <brk id="98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F09AC-4CCB-4549-877C-7588CDA755A7}">
  <sheetPr>
    <pageSetUpPr fitToPage="1"/>
  </sheetPr>
  <dimension ref="A1:B48"/>
  <sheetViews>
    <sheetView tabSelected="1" view="pageLayout" zoomScale="110" zoomScaleNormal="100" zoomScaleSheetLayoutView="100" zoomScalePageLayoutView="110" workbookViewId="0">
      <selection activeCell="A35" sqref="A35"/>
    </sheetView>
  </sheetViews>
  <sheetFormatPr defaultRowHeight="18.75" x14ac:dyDescent="0.3"/>
  <cols>
    <col min="1" max="1" width="73.7109375" style="30" customWidth="1"/>
    <col min="2" max="2" width="21.42578125" style="48" customWidth="1"/>
    <col min="3" max="3" width="63.5703125" style="30" customWidth="1"/>
    <col min="4" max="16384" width="9.140625" style="30"/>
  </cols>
  <sheetData>
    <row r="1" spans="1:2" ht="44.25" customHeight="1" thickBot="1" x14ac:dyDescent="0.35">
      <c r="B1" s="30"/>
    </row>
    <row r="2" spans="1:2" ht="20.25" customHeight="1" thickBot="1" x14ac:dyDescent="0.35">
      <c r="A2" s="52" t="s">
        <v>84</v>
      </c>
      <c r="B2" s="51" t="s">
        <v>144</v>
      </c>
    </row>
    <row r="3" spans="1:2" s="39" customFormat="1" ht="20.100000000000001" customHeight="1" x14ac:dyDescent="0.2">
      <c r="A3" s="59" t="s">
        <v>83</v>
      </c>
      <c r="B3" s="25">
        <f>SUM('2024-25 Budget Worksheet'!$I$4)</f>
        <v>457326.14999999997</v>
      </c>
    </row>
    <row r="4" spans="1:2" s="39" customFormat="1" ht="20.100000000000001" customHeight="1" x14ac:dyDescent="0.2">
      <c r="A4" s="59" t="s">
        <v>1</v>
      </c>
      <c r="B4" s="7">
        <f>SUM('2024-25 Budget Worksheet'!$I$5)</f>
        <v>65000</v>
      </c>
    </row>
    <row r="5" spans="1:2" s="39" customFormat="1" ht="20.100000000000001" customHeight="1" thickBot="1" x14ac:dyDescent="0.25">
      <c r="A5" s="60" t="s">
        <v>82</v>
      </c>
      <c r="B5" s="14">
        <f>SUM('2024-25 Budget Worksheet'!$I$6:$I$7)</f>
        <v>15050</v>
      </c>
    </row>
    <row r="6" spans="1:2" s="39" customFormat="1" ht="20.100000000000001" customHeight="1" thickTop="1" thickBot="1" x14ac:dyDescent="0.25">
      <c r="A6" s="55" t="s">
        <v>3</v>
      </c>
      <c r="B6" s="54">
        <f>SUM(B3:B5)</f>
        <v>537376.14999999991</v>
      </c>
    </row>
    <row r="7" spans="1:2" ht="14.25" customHeight="1" thickBot="1" x14ac:dyDescent="0.35"/>
    <row r="8" spans="1:2" ht="20.100000000000001" customHeight="1" thickBot="1" x14ac:dyDescent="0.35">
      <c r="A8" s="52" t="s">
        <v>81</v>
      </c>
      <c r="B8" s="51" t="s">
        <v>144</v>
      </c>
    </row>
    <row r="9" spans="1:2" ht="15.75" customHeight="1" x14ac:dyDescent="0.3">
      <c r="A9" s="205"/>
      <c r="B9" s="184"/>
    </row>
    <row r="10" spans="1:2" ht="20.100000000000001" customHeight="1" thickBot="1" x14ac:dyDescent="0.35">
      <c r="A10" s="206" t="s">
        <v>154</v>
      </c>
      <c r="B10" s="184"/>
    </row>
    <row r="11" spans="1:2" ht="20.100000000000001" customHeight="1" x14ac:dyDescent="0.3">
      <c r="A11" s="207" t="s">
        <v>153</v>
      </c>
      <c r="B11" s="208">
        <f>SUM('2024-25 Budget Worksheet'!$I$35)</f>
        <v>31500</v>
      </c>
    </row>
    <row r="12" spans="1:2" s="39" customFormat="1" ht="20.100000000000001" customHeight="1" x14ac:dyDescent="0.2">
      <c r="A12" s="209" t="s">
        <v>152</v>
      </c>
      <c r="B12" s="210">
        <f>SUM('2024-25 Budget Worksheet'!$I$41)</f>
        <v>162000</v>
      </c>
    </row>
    <row r="13" spans="1:2" s="39" customFormat="1" ht="20.100000000000001" customHeight="1" x14ac:dyDescent="0.2">
      <c r="A13" s="187" t="s">
        <v>77</v>
      </c>
      <c r="B13" s="210">
        <f>SUM('2024-25 Budget Worksheet'!$I$50)</f>
        <v>15000</v>
      </c>
    </row>
    <row r="14" spans="1:2" s="39" customFormat="1" ht="20.100000000000001" customHeight="1" thickBot="1" x14ac:dyDescent="0.25">
      <c r="A14" s="186" t="s">
        <v>151</v>
      </c>
      <c r="B14" s="211">
        <f>SUM('2024-25 Budget Worksheet'!$I$51)</f>
        <v>3000</v>
      </c>
    </row>
    <row r="15" spans="1:2" ht="20.100000000000001" customHeight="1" thickBot="1" x14ac:dyDescent="0.35">
      <c r="A15" s="55" t="s">
        <v>150</v>
      </c>
      <c r="B15" s="185">
        <f>SUM(B11:B14)</f>
        <v>211500</v>
      </c>
    </row>
    <row r="16" spans="1:2" ht="15.75" customHeight="1" x14ac:dyDescent="0.3">
      <c r="A16" s="205"/>
      <c r="B16" s="184"/>
    </row>
    <row r="17" spans="1:2" ht="20.100000000000001" customHeight="1" thickBot="1" x14ac:dyDescent="0.35">
      <c r="A17" s="206" t="s">
        <v>149</v>
      </c>
      <c r="B17" s="184"/>
    </row>
    <row r="18" spans="1:2" s="39" customFormat="1" ht="20.100000000000001" customHeight="1" x14ac:dyDescent="0.2">
      <c r="A18" s="212" t="s">
        <v>47</v>
      </c>
      <c r="B18" s="213">
        <f>SUM('2024-25 Budget Worksheet'!$I$57)</f>
        <v>36000</v>
      </c>
    </row>
    <row r="19" spans="1:2" s="39" customFormat="1" ht="20.100000000000001" customHeight="1" x14ac:dyDescent="0.2">
      <c r="A19" s="214" t="s">
        <v>74</v>
      </c>
      <c r="B19" s="210">
        <f>SUM('2024-25 Budget Worksheet'!$I$64)</f>
        <v>2000</v>
      </c>
    </row>
    <row r="20" spans="1:2" s="39" customFormat="1" ht="20.100000000000001" customHeight="1" x14ac:dyDescent="0.2">
      <c r="A20" s="215" t="s">
        <v>80</v>
      </c>
      <c r="B20" s="210">
        <f>SUM('2024-25 Budget Worksheet'!$I$65)</f>
        <v>7000</v>
      </c>
    </row>
    <row r="21" spans="1:2" s="39" customFormat="1" ht="20.100000000000001" customHeight="1" x14ac:dyDescent="0.2">
      <c r="A21" s="214" t="s">
        <v>79</v>
      </c>
      <c r="B21" s="210">
        <f>SUM('2024-25 Budget Worksheet'!$I$66)</f>
        <v>1100</v>
      </c>
    </row>
    <row r="22" spans="1:2" s="39" customFormat="1" ht="20.100000000000001" customHeight="1" x14ac:dyDescent="0.2">
      <c r="A22" s="214" t="s">
        <v>148</v>
      </c>
      <c r="B22" s="210">
        <f>SUM('2024-25 Budget Worksheet'!$I$67)</f>
        <v>6000</v>
      </c>
    </row>
    <row r="23" spans="1:2" s="39" customFormat="1" ht="20.100000000000001" customHeight="1" x14ac:dyDescent="0.2">
      <c r="A23" s="214" t="s">
        <v>147</v>
      </c>
      <c r="B23" s="210">
        <f>SUM('2024-25 Budget Worksheet'!$I$68:$I$69)</f>
        <v>8000</v>
      </c>
    </row>
    <row r="24" spans="1:2" s="39" customFormat="1" ht="20.100000000000001" customHeight="1" x14ac:dyDescent="0.2">
      <c r="A24" s="214" t="s">
        <v>75</v>
      </c>
      <c r="B24" s="210">
        <f>SUM('2024-25 Budget Worksheet'!$I$70)</f>
        <v>6000</v>
      </c>
    </row>
    <row r="25" spans="1:2" s="39" customFormat="1" ht="20.100000000000001" customHeight="1" x14ac:dyDescent="0.2">
      <c r="A25" s="214" t="s">
        <v>76</v>
      </c>
      <c r="B25" s="210">
        <f>SUM('2024-25 Budget Worksheet'!$I$71)</f>
        <v>13000</v>
      </c>
    </row>
    <row r="26" spans="1:2" s="39" customFormat="1" ht="20.100000000000001" customHeight="1" x14ac:dyDescent="0.2">
      <c r="A26" s="214" t="s">
        <v>78</v>
      </c>
      <c r="B26" s="210">
        <f>SUM('2024-25 Budget Worksheet'!$I$72)</f>
        <v>1000</v>
      </c>
    </row>
    <row r="27" spans="1:2" s="39" customFormat="1" ht="20.100000000000001" customHeight="1" x14ac:dyDescent="0.2">
      <c r="A27" s="216" t="s">
        <v>4</v>
      </c>
      <c r="B27" s="210">
        <f>SUM('2024-25 Budget Worksheet'!$I$73)</f>
        <v>300</v>
      </c>
    </row>
    <row r="28" spans="1:2" s="39" customFormat="1" ht="20.100000000000001" customHeight="1" x14ac:dyDescent="0.2">
      <c r="A28" s="216" t="s">
        <v>146</v>
      </c>
      <c r="B28" s="210">
        <f>SUM('2024-25 Budget Worksheet'!$I$20:$I$27,'2024-25 Budget Worksheet'!$I$29:$I$30)</f>
        <v>193400</v>
      </c>
    </row>
    <row r="29" spans="1:2" s="39" customFormat="1" ht="20.100000000000001" customHeight="1" thickBot="1" x14ac:dyDescent="0.25">
      <c r="A29" s="217" t="s">
        <v>14</v>
      </c>
      <c r="B29" s="211">
        <f>SUM('2024-25 Budget Worksheet'!$I$28)</f>
        <v>6000</v>
      </c>
    </row>
    <row r="30" spans="1:2" ht="20.100000000000001" customHeight="1" thickBot="1" x14ac:dyDescent="0.35">
      <c r="A30" s="55" t="s">
        <v>145</v>
      </c>
      <c r="B30" s="185">
        <f>SUM(B18:B29)</f>
        <v>279800</v>
      </c>
    </row>
    <row r="31" spans="1:2" ht="15" customHeight="1" thickBot="1" x14ac:dyDescent="0.35">
      <c r="A31" s="205"/>
      <c r="B31" s="184"/>
    </row>
    <row r="32" spans="1:2" s="39" customFormat="1" ht="39" customHeight="1" thickTop="1" thickBot="1" x14ac:dyDescent="0.25">
      <c r="A32" s="55" t="s">
        <v>73</v>
      </c>
      <c r="B32" s="54">
        <f>SUM(B15+B30)</f>
        <v>491300</v>
      </c>
    </row>
    <row r="33" spans="1:2" s="39" customFormat="1" ht="16.5" customHeight="1" thickBot="1" x14ac:dyDescent="0.25">
      <c r="A33" s="218"/>
      <c r="B33" s="58"/>
    </row>
    <row r="34" spans="1:2" ht="20.100000000000001" customHeight="1" thickBot="1" x14ac:dyDescent="0.35">
      <c r="A34" s="219"/>
      <c r="B34" s="51" t="s">
        <v>144</v>
      </c>
    </row>
    <row r="35" spans="1:2" ht="20.100000000000001" customHeight="1" thickBot="1" x14ac:dyDescent="0.35">
      <c r="A35" s="55" t="s">
        <v>3</v>
      </c>
      <c r="B35" s="57">
        <f>SUM(B6)</f>
        <v>537376.14999999991</v>
      </c>
    </row>
    <row r="36" spans="1:2" ht="20.100000000000001" customHeight="1" thickBot="1" x14ac:dyDescent="0.35">
      <c r="A36" s="55" t="s">
        <v>15</v>
      </c>
      <c r="B36" s="56">
        <f>SUM(B32)</f>
        <v>491300</v>
      </c>
    </row>
    <row r="37" spans="1:2" ht="22.5" customHeight="1" thickTop="1" thickBot="1" x14ac:dyDescent="0.35">
      <c r="A37" s="55" t="s">
        <v>72</v>
      </c>
      <c r="B37" s="54">
        <f>SUM(B35-B36)</f>
        <v>46076.149999999907</v>
      </c>
    </row>
    <row r="38" spans="1:2" ht="22.5" hidden="1" customHeight="1" thickBot="1" x14ac:dyDescent="0.3">
      <c r="B38" s="30"/>
    </row>
    <row r="39" spans="1:2" ht="19.5" hidden="1" thickBot="1" x14ac:dyDescent="0.35">
      <c r="A39" s="190" t="s">
        <v>6</v>
      </c>
      <c r="B39" s="51" t="s">
        <v>144</v>
      </c>
    </row>
    <row r="40" spans="1:2" hidden="1" x14ac:dyDescent="0.3">
      <c r="A40" s="189" t="s">
        <v>155</v>
      </c>
      <c r="B40" s="29"/>
    </row>
    <row r="41" spans="1:2" hidden="1" x14ac:dyDescent="0.3">
      <c r="A41" s="188" t="s">
        <v>156</v>
      </c>
      <c r="B41" s="29"/>
    </row>
    <row r="42" spans="1:2" hidden="1" x14ac:dyDescent="0.3">
      <c r="A42" s="188" t="s">
        <v>157</v>
      </c>
      <c r="B42" s="29"/>
    </row>
    <row r="43" spans="1:2" ht="19.5" hidden="1" thickBot="1" x14ac:dyDescent="0.35">
      <c r="A43" s="188" t="s">
        <v>158</v>
      </c>
      <c r="B43" s="53"/>
    </row>
    <row r="44" spans="1:2" ht="37.5" hidden="1" customHeight="1" thickTop="1" thickBot="1" x14ac:dyDescent="0.35">
      <c r="A44" s="183" t="s">
        <v>9</v>
      </c>
      <c r="B44" s="182">
        <f>SUM(B40:B43)</f>
        <v>0</v>
      </c>
    </row>
    <row r="45" spans="1:2" hidden="1" x14ac:dyDescent="0.3"/>
    <row r="46" spans="1:2" ht="20.100000000000001" hidden="1" customHeight="1" thickBot="1" x14ac:dyDescent="0.35">
      <c r="A46" s="52" t="s">
        <v>71</v>
      </c>
      <c r="B46" s="51" t="s">
        <v>70</v>
      </c>
    </row>
    <row r="47" spans="1:2" s="39" customFormat="1" ht="20.100000000000001" hidden="1" customHeight="1" x14ac:dyDescent="0.2">
      <c r="A47" s="50" t="s">
        <v>69</v>
      </c>
      <c r="B47" s="49"/>
    </row>
    <row r="48" spans="1:2" x14ac:dyDescent="0.3">
      <c r="A48" s="40"/>
    </row>
  </sheetData>
  <pageMargins left="1.4" right="0.7" top="1" bottom="0.76" header="0.3" footer="0.3"/>
  <pageSetup scale="87" fitToHeight="0" orientation="portrait" horizontalDpi="300" verticalDpi="300" r:id="rId1"/>
  <headerFooter>
    <oddHeader>&amp;C&amp;"Garamond,Bold"&amp;15Exhbit A
Mendocino County Russian River Flood Control
&amp; Water Conservation Improvement District 
Fiscal Year 2024-2025 Budget
 Board Approved on June 3,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2024-25 Budget Worksheet</vt:lpstr>
      <vt:lpstr>24-25 Exhibit A</vt:lpstr>
      <vt:lpstr>'2024-25 Budget Worksheet'!Print_Area</vt:lpstr>
      <vt:lpstr>'24-25 Exhibit A'!Print_Area</vt:lpstr>
    </vt:vector>
  </TitlesOfParts>
  <Company>RRFC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RRFCD</dc:creator>
  <cp:lastModifiedBy>Elizabeth Salomone</cp:lastModifiedBy>
  <cp:lastPrinted>2024-06-11T01:15:21Z</cp:lastPrinted>
  <dcterms:created xsi:type="dcterms:W3CDTF">2019-08-13T18:09:19Z</dcterms:created>
  <dcterms:modified xsi:type="dcterms:W3CDTF">2024-06-11T01:15:22Z</dcterms:modified>
</cp:coreProperties>
</file>